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4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08" sheetId="89" r:id="rId76"/>
    <sheet name="411" sheetId="91" r:id="rId77"/>
    <sheet name="412" sheetId="92" r:id="rId78"/>
    <sheet name="413" sheetId="93" r:id="rId79"/>
    <sheet name="414" sheetId="94" r:id="rId80"/>
    <sheet name="415" sheetId="95" r:id="rId81"/>
    <sheet name="418" sheetId="97" r:id="rId82"/>
    <sheet name="420" sheetId="98" r:id="rId83"/>
    <sheet name="423" sheetId="99" r:id="rId84"/>
    <sheet name="424" sheetId="100" r:id="rId85"/>
    <sheet name="425" sheetId="101" r:id="rId86"/>
    <sheet name="455" sheetId="108" r:id="rId87"/>
    <sheet name="492" sheetId="45" r:id="rId88"/>
    <sheet name="430" sheetId="102" r:id="rId89"/>
    <sheet name="433" sheetId="103" r:id="rId90"/>
    <sheet name="435" sheetId="104" r:id="rId91"/>
    <sheet name="444" sheetId="105" r:id="rId92"/>
    <sheet name="445" sheetId="106" r:id="rId93"/>
    <sheet name="450" sheetId="107" r:id="rId94"/>
    <sheet name="Div 5" sheetId="48" r:id="rId95"/>
    <sheet name="501" sheetId="109" r:id="rId96"/>
    <sheet name="Dept" sheetId="110" state="hidden" r:id="rId97"/>
    <sheet name="OSR_Dept_Y0WUKY" sheetId="111" state="hidden" r:id="rId98"/>
    <sheet name="OSR_Summary (...56e5d78f_5JEYZH" sheetId="112" state="hidden" r:id="rId99"/>
  </sheets>
  <definedNames>
    <definedName name="OSRRefD13x_0" localSheetId="41">'201'!$D$13</definedName>
    <definedName name="OSRRefD13x_0" localSheetId="42">'202'!$D$13</definedName>
    <definedName name="OSRRefD13x_0" localSheetId="48">'300'!$D$13:$D$76</definedName>
    <definedName name="OSRRefD13x_0" localSheetId="49">'300 &amp; 317'!$D$13:$D$90</definedName>
    <definedName name="OSRRefD13x_0" localSheetId="52">'307'!$D$13:$D$23</definedName>
    <definedName name="OSRRefD13x_0" localSheetId="53">'308'!$D$13:$D$34</definedName>
    <definedName name="OSRRefD13x_0" localSheetId="64">'309'!$D$13</definedName>
    <definedName name="OSRRefD13x_0" localSheetId="63">'310'!$D$13:$D$17</definedName>
    <definedName name="OSRRefD13x_0" localSheetId="71">'310 &amp; 491'!$D$13:$D$21</definedName>
    <definedName name="OSRRefD13x_0" localSheetId="54">'311'!$D$13:$D$33</definedName>
    <definedName name="OSRRefD13x_0" localSheetId="65">'313'!$D$13</definedName>
    <definedName name="OSRRefD13x_0" localSheetId="57">'315'!$D$13:$D$50</definedName>
    <definedName name="OSRRefD13x_0" localSheetId="60">'316'!$D$13:$D$24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'326'!$D$13:$D$33</definedName>
    <definedName name="OSRRefD13x_0" localSheetId="69">'327'!$D$13:$D$14</definedName>
    <definedName name="OSRRefD13x_0" localSheetId="51">'330'!$D$13:$D$23</definedName>
    <definedName name="OSRRefD13x_0" localSheetId="56">'331'!$D$13:$D$50</definedName>
    <definedName name="OSRRefD13x_0" localSheetId="59">'332'!$D$13:$D$24</definedName>
    <definedName name="OSRRefD13x_0" localSheetId="73">'405'!$D$13:$D$14</definedName>
    <definedName name="OSRRefD13x_0" localSheetId="77">'412'!$D$13</definedName>
    <definedName name="OSRRefD13x_0" localSheetId="78">'413'!$D$13:$D$14</definedName>
    <definedName name="OSRRefD13x_0" localSheetId="79">'414'!$D$13:$D$15</definedName>
    <definedName name="OSRRefD13x_0" localSheetId="80">'415'!$D$13:$D$16</definedName>
    <definedName name="OSRRefD13x_0" localSheetId="81">'418'!$D$13:$D$14</definedName>
    <definedName name="OSRRefD13x_0" localSheetId="82">'420'!$D$13</definedName>
    <definedName name="OSRRefD13x_0" localSheetId="89">'433'!$D$13:$D$16</definedName>
    <definedName name="OSRRefD13x_0" localSheetId="91">'444'!$D$13:$D$16</definedName>
    <definedName name="OSRRefD13x_0" localSheetId="93">'450'!$D$13:$D$14</definedName>
    <definedName name="OSRRefD13x_0" localSheetId="72">'491'!$D$13:$D$18</definedName>
    <definedName name="OSRRefD13x_0" localSheetId="87">'492'!$D$13:$D$16</definedName>
    <definedName name="OSRRefD13x_0" localSheetId="95">'501'!$D$13</definedName>
    <definedName name="OSRRefD13x_0" localSheetId="39">'Div 2'!$D$13</definedName>
    <definedName name="OSRRefD13x_0" localSheetId="47">'Div 3'!$D$13:$D$78</definedName>
    <definedName name="OSRRefD13x_0" localSheetId="70">'Div 4'!$D$13:$D$20</definedName>
    <definedName name="OSRRefD13x_0" localSheetId="94">'Div 5'!$D$13</definedName>
    <definedName name="OSRRefD13x_0" localSheetId="61">'Div 6'!$D$13:$D$30</definedName>
    <definedName name="OSRRefD13x_0" localSheetId="2">Summary!$D$13:$D$97</definedName>
    <definedName name="OSRRefD16x_0" localSheetId="48">'300'!$D$79:$D$113</definedName>
    <definedName name="OSRRefD16x_0" localSheetId="49">'300 &amp; 317'!$D$93:$D$135</definedName>
    <definedName name="OSRRefD16x_0" localSheetId="52">'307'!$D$26:$D$33</definedName>
    <definedName name="OSRRefD16x_0" localSheetId="53">'308'!$D$37:$D$51</definedName>
    <definedName name="OSRRefD16x_0" localSheetId="64">'309'!$D$16</definedName>
    <definedName name="OSRRefD16x_0" localSheetId="63">'310'!$D$20:$D$22</definedName>
    <definedName name="OSRRefD16x_0" localSheetId="71">'310 &amp; 491'!$D$24:$D$26</definedName>
    <definedName name="OSRRefD16x_0" localSheetId="54">'311'!$D$36:$D$50</definedName>
    <definedName name="OSRRefD16x_0" localSheetId="65">'313'!$D$16:$D$17</definedName>
    <definedName name="OSRRefD16x_0" localSheetId="57">'315'!$D$53:$D$74</definedName>
    <definedName name="OSRRefD16x_0" localSheetId="62">'317'!$D$33:$D$44</definedName>
    <definedName name="OSRRefD16x_0" localSheetId="66">'321'!$D$18:$D$20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'326'!$D$36:$D$41</definedName>
    <definedName name="OSRRefD16x_0" localSheetId="69">'327'!$D$17:$D$18</definedName>
    <definedName name="OSRRefD16x_0" localSheetId="51">'330'!$D$26:$D$33</definedName>
    <definedName name="OSRRefD16x_0" localSheetId="56">'331'!$D$53:$D$75</definedName>
    <definedName name="OSRRefD16x_0" localSheetId="73">'405'!$D$17:$D$18</definedName>
    <definedName name="OSRRefD16x_0" localSheetId="77">'412'!$D$16</definedName>
    <definedName name="OSRRefD16x_0" localSheetId="78">'413'!$D$17</definedName>
    <definedName name="OSRRefD16x_0" localSheetId="79">'414'!$D$18:$D$19</definedName>
    <definedName name="OSRRefD16x_0" localSheetId="80">'415'!$D$19:$D$21</definedName>
    <definedName name="OSRRefD16x_0" localSheetId="81">'418'!$D$17</definedName>
    <definedName name="OSRRefD16x_0" localSheetId="89">'433'!$D$19:$D$21</definedName>
    <definedName name="OSRRefD16x_0" localSheetId="91">'444'!$D$19:$D$21</definedName>
    <definedName name="OSRRefD16x_0" localSheetId="93">'450'!$D$17</definedName>
    <definedName name="OSRRefD16x_0" localSheetId="72">'491'!$D$21:$D$23</definedName>
    <definedName name="OSRRefD16x_0" localSheetId="87">'492'!$D$19:$D$21</definedName>
    <definedName name="OSRRefD16x_0" localSheetId="47">'Div 3'!$D$81:$D$117</definedName>
    <definedName name="OSRRefD16x_0" localSheetId="70">'Div 4'!$D$23:$D$25</definedName>
    <definedName name="OSRRefD16x_0" localSheetId="61">'Div 6'!$D$33:$D$44</definedName>
    <definedName name="OSRRefD16x_0" localSheetId="2">Summary!$D$100:$D$144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'300'!$D$119:$D$128</definedName>
    <definedName name="OSRRefD22_0x_0" localSheetId="49">'300 &amp; 317'!$D$141:$D$150</definedName>
    <definedName name="OSRRefD22_0x_0" localSheetId="50">'301'!$D$20:$D$29</definedName>
    <definedName name="OSRRefD22_0x_0" localSheetId="52">'307'!$D$39:$D$46</definedName>
    <definedName name="OSRRefD22_0x_0" localSheetId="53">'308'!$D$57:$D$66</definedName>
    <definedName name="OSRRefD22_0x_0" localSheetId="64">'309'!$D$22:$D$29</definedName>
    <definedName name="OSRRefD22_0x_0" localSheetId="63">'310'!$D$28:$D$36</definedName>
    <definedName name="OSRRefD22_0x_0" localSheetId="71">'310 &amp; 491'!$D$32:$D$40</definedName>
    <definedName name="OSRRefD22_0x_0" localSheetId="54">'311'!$D$56:$D$65</definedName>
    <definedName name="OSRRefD22_0x_0" localSheetId="65">'313'!$D$23:$D$31</definedName>
    <definedName name="OSRRefD22_0x_0" localSheetId="57">'315'!$D$80:$D$88</definedName>
    <definedName name="OSRRefD22_0x_0" localSheetId="60">'316'!$D$32:$D$40</definedName>
    <definedName name="OSRRefD22_0x_0" localSheetId="62">'317'!$D$50:$D$59</definedName>
    <definedName name="OSRRefD22_0x_0" localSheetId="66">'321'!$D$26:$D$34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'326'!$D$47:$D$55</definedName>
    <definedName name="OSRRefD22_0x_0" localSheetId="69">'327'!$D$24</definedName>
    <definedName name="OSRRefD22_0x_0" localSheetId="51">'330'!$D$39:$D$46</definedName>
    <definedName name="OSRRefD22_0x_0" localSheetId="56">'331'!$D$81:$D$89</definedName>
    <definedName name="OSRRefD22_0x_0" localSheetId="59">'332'!$D$32:$D$40</definedName>
    <definedName name="OSRRefD22_0x_0" localSheetId="73">'405'!$D$24:$D$31</definedName>
    <definedName name="OSRRefD22_0x_0" localSheetId="74">'406'!$D$20</definedName>
    <definedName name="OSRRefD22_0x_0" localSheetId="76">'411'!$D$20:$D$28</definedName>
    <definedName name="OSRRefD22_0x_0" localSheetId="77">'412'!$D$22:$D$29</definedName>
    <definedName name="OSRRefD22_0x_0" localSheetId="78">'413'!$D$23:$D$31</definedName>
    <definedName name="OSRRefD22_0x_0" localSheetId="79">'414'!$D$25:$D$33</definedName>
    <definedName name="OSRRefD22_0x_0" localSheetId="80">'415'!$D$27:$D$35</definedName>
    <definedName name="OSRRefD22_0x_0" localSheetId="81">'418'!$D$23:$D$30</definedName>
    <definedName name="OSRRefD22_0x_0" localSheetId="82">'420'!$D$21</definedName>
    <definedName name="OSRRefD22_0x_0" localSheetId="83">'423'!$D$20:$D$27</definedName>
    <definedName name="OSRRefD22_0x_0" localSheetId="84">'424'!$D$20</definedName>
    <definedName name="OSRRefD22_0x_0" localSheetId="85">'425'!$D$20:$D$24</definedName>
    <definedName name="OSRRefD22_0x_0" localSheetId="88">'430'!$D$20:$D$28</definedName>
    <definedName name="OSRRefD22_0x_0" localSheetId="89">'433'!$D$27:$D$36</definedName>
    <definedName name="OSRRefD22_0x_0" localSheetId="90">'435'!$D$20</definedName>
    <definedName name="OSRRefD22_0x_0" localSheetId="91">'444'!$D$27:$D$36</definedName>
    <definedName name="OSRRefD22_0x_0" localSheetId="93">'450'!$D$23:$D$32</definedName>
    <definedName name="OSRRefD22_0x_0" localSheetId="72">'491'!$D$29:$D$37</definedName>
    <definedName name="OSRRefD22_0x_0" localSheetId="87">'492'!$D$27:$D$36</definedName>
    <definedName name="OSRRefD22_0x_0" localSheetId="95">'501'!$D$21:$D$30</definedName>
    <definedName name="OSRRefD22_0x_0" localSheetId="39">'Div 2'!$D$21:$D$31</definedName>
    <definedName name="OSRRefD22_0x_0" localSheetId="47">'Div 3'!$D$123:$D$132</definedName>
    <definedName name="OSRRefD22_0x_0" localSheetId="70">'Div 4'!$D$31:$D$40</definedName>
    <definedName name="OSRRefD22_0x_0" localSheetId="94">'Div 5'!$D$21:$D$30</definedName>
    <definedName name="OSRRefD22_0x_0" localSheetId="61">'Div 6'!$D$50:$D$59</definedName>
    <definedName name="OSRRefD22_0x_0" localSheetId="2">Summary!$D$150:$D$159</definedName>
    <definedName name="OSRRefD22_10x_0" localSheetId="41">'201'!$D$59:$D$61</definedName>
    <definedName name="OSRRefD22_10x_0" localSheetId="42">'202'!$D$63</definedName>
    <definedName name="OSRRefD22_10x_0" localSheetId="43">'203'!$D$62</definedName>
    <definedName name="OSRRefD22_10x_0" localSheetId="44">'204'!$D$62:$D$63</definedName>
    <definedName name="OSRRefD22_10x_0" localSheetId="48">'300'!$D$161:$D$162</definedName>
    <definedName name="OSRRefD22_10x_0" localSheetId="49">'300 &amp; 317'!$D$183:$D$184</definedName>
    <definedName name="OSRRefD22_10x_0" localSheetId="50">'301'!$D$60</definedName>
    <definedName name="OSRRefD22_10x_0" localSheetId="52">'307'!$D$77:$D$78</definedName>
    <definedName name="OSRRefD22_10x_0" localSheetId="53">'308'!$D$99:$D$100</definedName>
    <definedName name="OSRRefD22_10x_0" localSheetId="64">'309'!$D$62</definedName>
    <definedName name="OSRRefD22_10x_0" localSheetId="63">'310'!$D$66</definedName>
    <definedName name="OSRRefD22_10x_0" localSheetId="71">'310 &amp; 491'!$D$72</definedName>
    <definedName name="OSRRefD22_10x_0" localSheetId="54">'311'!$D$98:$D$99</definedName>
    <definedName name="OSRRefD22_10x_0" localSheetId="65">'313'!$D$64</definedName>
    <definedName name="OSRRefD22_10x_0" localSheetId="57">'315'!$D$118</definedName>
    <definedName name="OSRRefD22_10x_0" localSheetId="60">'316'!$D$75</definedName>
    <definedName name="OSRRefD22_10x_0" localSheetId="62">'317'!$D$89:$D$91</definedName>
    <definedName name="OSRRefD22_10x_0" localSheetId="66">'321'!$D$66:$D$68</definedName>
    <definedName name="OSRRefD22_10x_0" localSheetId="67">'322'!$D$64</definedName>
    <definedName name="OSRRefD22_10x_0" localSheetId="68">'325'!$D$62</definedName>
    <definedName name="OSRRefD22_10x_0" localSheetId="58">'326'!$D$85</definedName>
    <definedName name="OSRRefD22_10x_0" localSheetId="51">'330'!$D$77:$D$78</definedName>
    <definedName name="OSRRefD22_10x_0" localSheetId="56">'331'!$D$120</definedName>
    <definedName name="OSRRefD22_10x_0" localSheetId="59">'332'!$D$75</definedName>
    <definedName name="OSRRefD22_10x_0" localSheetId="73">'405'!$D$62</definedName>
    <definedName name="OSRRefD22_10x_0" localSheetId="76">'411'!$D$60:$D$63</definedName>
    <definedName name="OSRRefD22_10x_0" localSheetId="77">'412'!$D$60:$D$63</definedName>
    <definedName name="OSRRefD22_10x_0" localSheetId="78">'413'!$D$64:$D$71</definedName>
    <definedName name="OSRRefD22_10x_0" localSheetId="79">'414'!$D$63</definedName>
    <definedName name="OSRRefD22_10x_0" localSheetId="80">'415'!$D$65</definedName>
    <definedName name="OSRRefD22_10x_0" localSheetId="81">'418'!$D$63:$D$64</definedName>
    <definedName name="OSRRefD22_10x_0" localSheetId="89">'433'!$D$65</definedName>
    <definedName name="OSRRefD22_10x_0" localSheetId="91">'444'!$D$65</definedName>
    <definedName name="OSRRefD22_10x_0" localSheetId="93">'450'!$D$61</definedName>
    <definedName name="OSRRefD22_10x_0" localSheetId="72">'491'!$D$68</definedName>
    <definedName name="OSRRefD22_10x_0" localSheetId="87">'492'!$D$65</definedName>
    <definedName name="OSRRefD22_10x_0" localSheetId="95">'501'!$D$63:$D$64</definedName>
    <definedName name="OSRRefD22_10x_0" localSheetId="39">'Div 2'!$D$63</definedName>
    <definedName name="OSRRefD22_10x_0" localSheetId="47">'Div 3'!$D$165:$D$166</definedName>
    <definedName name="OSRRefD22_10x_0" localSheetId="70">'Div 4'!$D$71</definedName>
    <definedName name="OSRRefD22_10x_0" localSheetId="94">'Div 5'!$D$63:$D$64</definedName>
    <definedName name="OSRRefD22_10x_0" localSheetId="61">'Div 6'!$D$89:$D$91</definedName>
    <definedName name="OSRRefD22_10x_0" localSheetId="2">Summary!$D$193:$D$194</definedName>
    <definedName name="OSRRefD22_11x_0" localSheetId="41">'201'!$D$63</definedName>
    <definedName name="OSRRefD22_11x_0" localSheetId="42">'202'!$D$65</definedName>
    <definedName name="OSRRefD22_11x_0" localSheetId="43">'203'!$D$64:$D$66</definedName>
    <definedName name="OSRRefD22_11x_0" localSheetId="44">'204'!$D$65</definedName>
    <definedName name="OSRRefD22_11x_0" localSheetId="48">'300'!$D$164:$D$166</definedName>
    <definedName name="OSRRefD22_11x_0" localSheetId="49">'300 &amp; 317'!$D$186:$D$188</definedName>
    <definedName name="OSRRefD22_11x_0" localSheetId="50">'301'!$D$62</definedName>
    <definedName name="OSRRefD22_11x_0" localSheetId="52">'307'!$D$80:$D$83</definedName>
    <definedName name="OSRRefD22_11x_0" localSheetId="53">'308'!$D$102:$D$104</definedName>
    <definedName name="OSRRefD22_11x_0" localSheetId="63">'310'!$D$68</definedName>
    <definedName name="OSRRefD22_11x_0" localSheetId="71">'310 &amp; 491'!$D$74</definedName>
    <definedName name="OSRRefD22_11x_0" localSheetId="54">'311'!$D$101:$D$103</definedName>
    <definedName name="OSRRefD22_11x_0" localSheetId="65">'313'!$D$66</definedName>
    <definedName name="OSRRefD22_11x_0" localSheetId="57">'315'!$D$120</definedName>
    <definedName name="OSRRefD22_11x_0" localSheetId="60">'316'!$D$77</definedName>
    <definedName name="OSRRefD22_11x_0" localSheetId="62">'317'!$D$93</definedName>
    <definedName name="OSRRefD22_11x_0" localSheetId="66">'321'!$D$70:$D$71</definedName>
    <definedName name="OSRRefD22_11x_0" localSheetId="67">'322'!$D$66</definedName>
    <definedName name="OSRRefD22_11x_0" localSheetId="68">'325'!$D$64:$D$67</definedName>
    <definedName name="OSRRefD22_11x_0" localSheetId="58">'326'!$D$87</definedName>
    <definedName name="OSRRefD22_11x_0" localSheetId="51">'330'!$D$80:$D$83</definedName>
    <definedName name="OSRRefD22_11x_0" localSheetId="56">'331'!$D$122</definedName>
    <definedName name="OSRRefD22_11x_0" localSheetId="59">'332'!$D$77</definedName>
    <definedName name="OSRRefD22_11x_0" localSheetId="73">'405'!$D$64:$D$67</definedName>
    <definedName name="OSRRefD22_11x_0" localSheetId="76">'411'!$D$65</definedName>
    <definedName name="OSRRefD22_11x_0" localSheetId="77">'412'!$D$65:$D$69</definedName>
    <definedName name="OSRRefD22_11x_0" localSheetId="78">'413'!$D$73:$D$74</definedName>
    <definedName name="OSRRefD22_11x_0" localSheetId="79">'414'!$D$65</definedName>
    <definedName name="OSRRefD22_11x_0" localSheetId="80">'415'!$D$67:$D$68</definedName>
    <definedName name="OSRRefD22_11x_0" localSheetId="81">'418'!$D$66:$D$75</definedName>
    <definedName name="OSRRefD22_11x_0" localSheetId="89">'433'!$D$67:$D$69</definedName>
    <definedName name="OSRRefD22_11x_0" localSheetId="91">'444'!$D$67:$D$70</definedName>
    <definedName name="OSRRefD22_11x_0" localSheetId="93">'450'!$D$63</definedName>
    <definedName name="OSRRefD22_11x_0" localSheetId="72">'491'!$D$70</definedName>
    <definedName name="OSRRefD22_11x_0" localSheetId="87">'492'!$D$67</definedName>
    <definedName name="OSRRefD22_11x_0" localSheetId="95">'501'!$D$66</definedName>
    <definedName name="OSRRefD22_11x_0" localSheetId="39">'Div 2'!$D$65:$D$66</definedName>
    <definedName name="OSRRefD22_11x_0" localSheetId="47">'Div 3'!$D$168:$D$170</definedName>
    <definedName name="OSRRefD22_11x_0" localSheetId="70">'Div 4'!$D$73</definedName>
    <definedName name="OSRRefD22_11x_0" localSheetId="94">'Div 5'!$D$66</definedName>
    <definedName name="OSRRefD22_11x_0" localSheetId="61">'Div 6'!$D$93</definedName>
    <definedName name="OSRRefD22_11x_0" localSheetId="2">Summary!$D$196:$D$198</definedName>
    <definedName name="OSRRefD22_12x_0" localSheetId="41">'201'!$D$65</definedName>
    <definedName name="OSRRefD22_12x_0" localSheetId="42">'202'!$D$67</definedName>
    <definedName name="OSRRefD22_12x_0" localSheetId="43">'203'!$D$68</definedName>
    <definedName name="OSRRefD22_12x_0" localSheetId="44">'204'!$D$67</definedName>
    <definedName name="OSRRefD22_12x_0" localSheetId="48">'300'!$D$168</definedName>
    <definedName name="OSRRefD22_12x_0" localSheetId="49">'300 &amp; 317'!$D$190</definedName>
    <definedName name="OSRRefD22_12x_0" localSheetId="50">'301'!$D$64</definedName>
    <definedName name="OSRRefD22_12x_0" localSheetId="52">'307'!$D$85:$D$86</definedName>
    <definedName name="OSRRefD22_12x_0" localSheetId="53">'308'!$D$106:$D$107</definedName>
    <definedName name="OSRRefD22_12x_0" localSheetId="63">'310'!$D$70</definedName>
    <definedName name="OSRRefD22_12x_0" localSheetId="71">'310 &amp; 491'!$D$76</definedName>
    <definedName name="OSRRefD22_12x_0" localSheetId="54">'311'!$D$105:$D$106</definedName>
    <definedName name="OSRRefD22_12x_0" localSheetId="57">'315'!$D$122:$D$124</definedName>
    <definedName name="OSRRefD22_12x_0" localSheetId="62">'317'!$D$95</definedName>
    <definedName name="OSRRefD22_12x_0" localSheetId="66">'321'!$D$73</definedName>
    <definedName name="OSRRefD22_12x_0" localSheetId="68">'325'!$D$69:$D$71</definedName>
    <definedName name="OSRRefD22_12x_0" localSheetId="58">'326'!$D$89</definedName>
    <definedName name="OSRRefD22_12x_0" localSheetId="51">'330'!$D$85:$D$86</definedName>
    <definedName name="OSRRefD22_12x_0" localSheetId="56">'331'!$D$124</definedName>
    <definedName name="OSRRefD22_12x_0" localSheetId="73">'405'!$D$69</definedName>
    <definedName name="OSRRefD22_12x_0" localSheetId="76">'411'!$D$67:$D$73</definedName>
    <definedName name="OSRRefD22_12x_0" localSheetId="77">'412'!$D$71:$D$72</definedName>
    <definedName name="OSRRefD22_12x_0" localSheetId="78">'413'!$D$76</definedName>
    <definedName name="OSRRefD22_12x_0" localSheetId="79">'414'!$D$67:$D$69</definedName>
    <definedName name="OSRRefD22_12x_0" localSheetId="80">'415'!$D$70:$D$74</definedName>
    <definedName name="OSRRefD22_12x_0" localSheetId="81">'418'!$D$77:$D$78</definedName>
    <definedName name="OSRRefD22_12x_0" localSheetId="89">'433'!$D$71:$D$74</definedName>
    <definedName name="OSRRefD22_12x_0" localSheetId="91">'444'!$D$72:$D$75</definedName>
    <definedName name="OSRRefD22_12x_0" localSheetId="93">'450'!$D$65</definedName>
    <definedName name="OSRRefD22_12x_0" localSheetId="72">'491'!$D$72</definedName>
    <definedName name="OSRRefD22_12x_0" localSheetId="87">'492'!$D$69:$D$72</definedName>
    <definedName name="OSRRefD22_12x_0" localSheetId="39">'Div 2'!$D$68:$D$71</definedName>
    <definedName name="OSRRefD22_12x_0" localSheetId="47">'Div 3'!$D$172</definedName>
    <definedName name="OSRRefD22_12x_0" localSheetId="70">'Div 4'!$D$75</definedName>
    <definedName name="OSRRefD22_12x_0" localSheetId="61">'Div 6'!$D$95</definedName>
    <definedName name="OSRRefD22_12x_0" localSheetId="2">Summary!$D$200</definedName>
    <definedName name="OSRRefD22_13x_0" localSheetId="41">'201'!$D$67:$D$69</definedName>
    <definedName name="OSRRefD22_13x_0" localSheetId="43">'203'!$D$70</definedName>
    <definedName name="OSRRefD22_13x_0" localSheetId="48">'300'!$D$170</definedName>
    <definedName name="OSRRefD22_13x_0" localSheetId="49">'300 &amp; 317'!$D$192</definedName>
    <definedName name="OSRRefD22_13x_0" localSheetId="50">'301'!$D$66</definedName>
    <definedName name="OSRRefD22_13x_0" localSheetId="52">'307'!$D$88</definedName>
    <definedName name="OSRRefD22_13x_0" localSheetId="53">'308'!$D$109</definedName>
    <definedName name="OSRRefD22_13x_0" localSheetId="63">'310'!$D$72:$D$75</definedName>
    <definedName name="OSRRefD22_13x_0" localSheetId="71">'310 &amp; 491'!$D$78:$D$81</definedName>
    <definedName name="OSRRefD22_13x_0" localSheetId="54">'311'!$D$108</definedName>
    <definedName name="OSRRefD22_13x_0" localSheetId="57">'315'!$D$126:$D$127</definedName>
    <definedName name="OSRRefD22_13x_0" localSheetId="66">'321'!$D$75</definedName>
    <definedName name="OSRRefD22_13x_0" localSheetId="68">'325'!$D$73</definedName>
    <definedName name="OSRRefD22_13x_0" localSheetId="58">'326'!$D$91:$D$93</definedName>
    <definedName name="OSRRefD22_13x_0" localSheetId="51">'330'!$D$88</definedName>
    <definedName name="OSRRefD22_13x_0" localSheetId="56">'331'!$D$126</definedName>
    <definedName name="OSRRefD22_13x_0" localSheetId="73">'405'!$D$71:$D$79</definedName>
    <definedName name="OSRRefD22_13x_0" localSheetId="76">'411'!$D$75</definedName>
    <definedName name="OSRRefD22_13x_0" localSheetId="77">'412'!$D$74</definedName>
    <definedName name="OSRRefD22_13x_0" localSheetId="79">'414'!$D$71</definedName>
    <definedName name="OSRRefD22_13x_0" localSheetId="80">'415'!$D$76</definedName>
    <definedName name="OSRRefD22_13x_0" localSheetId="81">'418'!$D$80</definedName>
    <definedName name="OSRRefD22_13x_0" localSheetId="89">'433'!$D$76:$D$83</definedName>
    <definedName name="OSRRefD22_13x_0" localSheetId="91">'444'!$D$77</definedName>
    <definedName name="OSRRefD22_13x_0" localSheetId="93">'450'!$D$67:$D$69</definedName>
    <definedName name="OSRRefD22_13x_0" localSheetId="72">'491'!$D$74:$D$77</definedName>
    <definedName name="OSRRefD22_13x_0" localSheetId="87">'492'!$D$74:$D$77</definedName>
    <definedName name="OSRRefD22_13x_0" localSheetId="39">'Div 2'!$D$73:$D$76</definedName>
    <definedName name="OSRRefD22_13x_0" localSheetId="47">'Div 3'!$D$174</definedName>
    <definedName name="OSRRefD22_13x_0" localSheetId="70">'Div 4'!$D$77</definedName>
    <definedName name="OSRRefD22_13x_0" localSheetId="2">Summary!$D$202</definedName>
    <definedName name="OSRRefD22_14x_0" localSheetId="41">'201'!$D$71</definedName>
    <definedName name="OSRRefD22_14x_0" localSheetId="43">'203'!$D$72</definedName>
    <definedName name="OSRRefD22_14x_0" localSheetId="48">'300'!$D$172</definedName>
    <definedName name="OSRRefD22_14x_0" localSheetId="49">'300 &amp; 317'!$D$194</definedName>
    <definedName name="OSRRefD22_14x_0" localSheetId="50">'301'!$D$68:$D$71</definedName>
    <definedName name="OSRRefD22_14x_0" localSheetId="53">'308'!$D$111</definedName>
    <definedName name="OSRRefD22_14x_0" localSheetId="63">'310'!$D$77:$D$78</definedName>
    <definedName name="OSRRefD22_14x_0" localSheetId="71">'310 &amp; 491'!$D$83:$D$84</definedName>
    <definedName name="OSRRefD22_14x_0" localSheetId="54">'311'!$D$110</definedName>
    <definedName name="OSRRefD22_14x_0" localSheetId="57">'315'!$D$129:$D$135</definedName>
    <definedName name="OSRRefD22_14x_0" localSheetId="68">'325'!$D$75:$D$79</definedName>
    <definedName name="OSRRefD22_14x_0" localSheetId="58">'326'!$D$95:$D$97</definedName>
    <definedName name="OSRRefD22_14x_0" localSheetId="56">'331'!$D$128:$D$130</definedName>
    <definedName name="OSRRefD22_14x_0" localSheetId="73">'405'!$D$81</definedName>
    <definedName name="OSRRefD22_14x_0" localSheetId="76">'411'!$D$77</definedName>
    <definedName name="OSRRefD22_14x_0" localSheetId="79">'414'!$D$73</definedName>
    <definedName name="OSRRefD22_14x_0" localSheetId="80">'415'!$D$78:$D$85</definedName>
    <definedName name="OSRRefD22_14x_0" localSheetId="89">'433'!$D$85</definedName>
    <definedName name="OSRRefD22_14x_0" localSheetId="91">'444'!$D$79:$D$87</definedName>
    <definedName name="OSRRefD22_14x_0" localSheetId="93">'450'!$D$71:$D$77</definedName>
    <definedName name="OSRRefD22_14x_0" localSheetId="72">'491'!$D$79:$D$80</definedName>
    <definedName name="OSRRefD22_14x_0" localSheetId="87">'492'!$D$79</definedName>
    <definedName name="OSRRefD22_14x_0" localSheetId="39">'Div 2'!$D$78:$D$79</definedName>
    <definedName name="OSRRefD22_14x_0" localSheetId="47">'Div 3'!$D$176</definedName>
    <definedName name="OSRRefD22_14x_0" localSheetId="70">'Div 4'!$D$79</definedName>
    <definedName name="OSRRefD22_14x_0" localSheetId="2">Summary!$D$204</definedName>
    <definedName name="OSRRefD22_15x_0" localSheetId="41">'201'!$D$73</definedName>
    <definedName name="OSRRefD22_15x_0" localSheetId="48">'300'!$D$174</definedName>
    <definedName name="OSRRefD22_15x_0" localSheetId="49">'300 &amp; 317'!$D$196</definedName>
    <definedName name="OSRRefD22_15x_0" localSheetId="50">'301'!$D$73:$D$75</definedName>
    <definedName name="OSRRefD22_15x_0" localSheetId="63">'310'!$D$80:$D$83</definedName>
    <definedName name="OSRRefD22_15x_0" localSheetId="71">'310 &amp; 491'!$D$86:$D$90</definedName>
    <definedName name="OSRRefD22_15x_0" localSheetId="57">'315'!$D$137</definedName>
    <definedName name="OSRRefD22_15x_0" localSheetId="68">'325'!$D$81:$D$82</definedName>
    <definedName name="OSRRefD22_15x_0" localSheetId="58">'326'!$D$99:$D$100</definedName>
    <definedName name="OSRRefD22_15x_0" localSheetId="56">'331'!$D$132:$D$134</definedName>
    <definedName name="OSRRefD22_15x_0" localSheetId="73">'405'!$D$83</definedName>
    <definedName name="OSRRefD22_15x_0" localSheetId="76">'411'!$D$79</definedName>
    <definedName name="OSRRefD22_15x_0" localSheetId="79">'414'!$D$75</definedName>
    <definedName name="OSRRefD22_15x_0" localSheetId="80">'415'!$D$87:$D$88</definedName>
    <definedName name="OSRRefD22_15x_0" localSheetId="89">'433'!$D$87</definedName>
    <definedName name="OSRRefD22_15x_0" localSheetId="91">'444'!$D$89:$D$90</definedName>
    <definedName name="OSRRefD22_15x_0" localSheetId="93">'450'!$D$79:$D$80</definedName>
    <definedName name="OSRRefD22_15x_0" localSheetId="72">'491'!$D$82:$D$86</definedName>
    <definedName name="OSRRefD22_15x_0" localSheetId="87">'492'!$D$81:$D$90</definedName>
    <definedName name="OSRRefD22_15x_0" localSheetId="39">'Div 2'!$D$81:$D$82</definedName>
    <definedName name="OSRRefD22_15x_0" localSheetId="47">'Div 3'!$D$178</definedName>
    <definedName name="OSRRefD22_15x_0" localSheetId="70">'Div 4'!$D$81:$D$84</definedName>
    <definedName name="OSRRefD22_15x_0" localSheetId="2">Summary!$D$206</definedName>
    <definedName name="OSRRefD22_16x_0" localSheetId="41">'201'!$D$75</definedName>
    <definedName name="OSRRefD22_16x_0" localSheetId="48">'300'!$D$176:$D$179</definedName>
    <definedName name="OSRRefD22_16x_0" localSheetId="49">'300 &amp; 317'!$D$198:$D$201</definedName>
    <definedName name="OSRRefD22_16x_0" localSheetId="50">'301'!$D$77</definedName>
    <definedName name="OSRRefD22_16x_0" localSheetId="63">'310'!$D$85</definedName>
    <definedName name="OSRRefD22_16x_0" localSheetId="71">'310 &amp; 491'!$D$92:$D$93</definedName>
    <definedName name="OSRRefD22_16x_0" localSheetId="57">'315'!$D$139</definedName>
    <definedName name="OSRRefD22_16x_0" localSheetId="68">'325'!$D$84</definedName>
    <definedName name="OSRRefD22_16x_0" localSheetId="58">'326'!$D$102:$D$107</definedName>
    <definedName name="OSRRefD22_16x_0" localSheetId="56">'331'!$D$136:$D$138</definedName>
    <definedName name="OSRRefD22_16x_0" localSheetId="73">'405'!$D$85</definedName>
    <definedName name="OSRRefD22_16x_0" localSheetId="80">'415'!$D$90</definedName>
    <definedName name="OSRRefD22_16x_0" localSheetId="91">'444'!$D$92</definedName>
    <definedName name="OSRRefD22_16x_0" localSheetId="93">'450'!$D$82</definedName>
    <definedName name="OSRRefD22_16x_0" localSheetId="72">'491'!$D$88:$D$89</definedName>
    <definedName name="OSRRefD22_16x_0" localSheetId="87">'492'!$D$92:$D$93</definedName>
    <definedName name="OSRRefD22_16x_0" localSheetId="39">'Div 2'!$D$84:$D$88</definedName>
    <definedName name="OSRRefD22_16x_0" localSheetId="47">'Div 3'!$D$180</definedName>
    <definedName name="OSRRefD22_16x_0" localSheetId="70">'Div 4'!$D$86:$D$87</definedName>
    <definedName name="OSRRefD22_16x_0" localSheetId="2">Summary!$D$208</definedName>
    <definedName name="OSRRefD22_17x_0" localSheetId="48">'300'!$D$181:$D$184</definedName>
    <definedName name="OSRRefD22_17x_0" localSheetId="49">'300 &amp; 317'!$D$203:$D$206</definedName>
    <definedName name="OSRRefD22_17x_0" localSheetId="50">'301'!$D$79:$D$85</definedName>
    <definedName name="OSRRefD22_17x_0" localSheetId="63">'310'!$D$87:$D$93</definedName>
    <definedName name="OSRRefD22_17x_0" localSheetId="71">'310 &amp; 491'!$D$95:$D$105</definedName>
    <definedName name="OSRRefD22_17x_0" localSheetId="57">'315'!$D$141:$D$142</definedName>
    <definedName name="OSRRefD22_17x_0" localSheetId="68">'325'!$D$86</definedName>
    <definedName name="OSRRefD22_17x_0" localSheetId="58">'326'!$D$109:$D$110</definedName>
    <definedName name="OSRRefD22_17x_0" localSheetId="56">'331'!$D$140:$D$141</definedName>
    <definedName name="OSRRefD22_17x_0" localSheetId="73">'405'!$D$87</definedName>
    <definedName name="OSRRefD22_17x_0" localSheetId="80">'415'!$D$92:$D$93</definedName>
    <definedName name="OSRRefD22_17x_0" localSheetId="72">'491'!$D$91:$D$101</definedName>
    <definedName name="OSRRefD22_17x_0" localSheetId="87">'492'!$D$95</definedName>
    <definedName name="OSRRefD22_17x_0" localSheetId="39">'Div 2'!$D$90:$D$91</definedName>
    <definedName name="OSRRefD22_17x_0" localSheetId="47">'Div 3'!$D$182:$D$185</definedName>
    <definedName name="OSRRefD22_17x_0" localSheetId="70">'Div 4'!$D$89:$D$93</definedName>
    <definedName name="OSRRefD22_17x_0" localSheetId="2">Summary!$D$210</definedName>
    <definedName name="OSRRefD22_18x_0" localSheetId="48">'300'!$D$186:$D$189</definedName>
    <definedName name="OSRRefD22_18x_0" localSheetId="49">'300 &amp; 317'!$D$208:$D$211</definedName>
    <definedName name="OSRRefD22_18x_0" localSheetId="50">'301'!$D$87</definedName>
    <definedName name="OSRRefD22_18x_0" localSheetId="63">'310'!$D$95:$D$96</definedName>
    <definedName name="OSRRefD22_18x_0" localSheetId="71">'310 &amp; 491'!$D$107:$D$108</definedName>
    <definedName name="OSRRefD22_18x_0" localSheetId="58">'326'!$D$112</definedName>
    <definedName name="OSRRefD22_18x_0" localSheetId="56">'331'!$D$143:$D$150</definedName>
    <definedName name="OSRRefD22_18x_0" localSheetId="80">'415'!$D$95</definedName>
    <definedName name="OSRRefD22_18x_0" localSheetId="72">'491'!$D$103:$D$104</definedName>
    <definedName name="OSRRefD22_18x_0" localSheetId="87">'492'!$D$97</definedName>
    <definedName name="OSRRefD22_18x_0" localSheetId="39">'Div 2'!$D$93</definedName>
    <definedName name="OSRRefD22_18x_0" localSheetId="47">'Div 3'!$D$187:$D$190</definedName>
    <definedName name="OSRRefD22_18x_0" localSheetId="70">'Div 4'!$D$95:$D$96</definedName>
    <definedName name="OSRRefD22_18x_0" localSheetId="2">Summary!$D$212:$D$215</definedName>
    <definedName name="OSRRefD22_19x_0" localSheetId="48">'300'!$D$191:$D$192</definedName>
    <definedName name="OSRRefD22_19x_0" localSheetId="49">'300 &amp; 317'!$D$213:$D$214</definedName>
    <definedName name="OSRRefD22_19x_0" localSheetId="50">'301'!$D$89</definedName>
    <definedName name="OSRRefD22_19x_0" localSheetId="63">'310'!$D$98</definedName>
    <definedName name="OSRRefD22_19x_0" localSheetId="71">'310 &amp; 491'!$D$110</definedName>
    <definedName name="OSRRefD22_19x_0" localSheetId="58">'326'!$D$114:$D$115</definedName>
    <definedName name="OSRRefD22_19x_0" localSheetId="56">'331'!$D$152:$D$153</definedName>
    <definedName name="OSRRefD22_19x_0" localSheetId="72">'491'!$D$106</definedName>
    <definedName name="OSRRefD22_19x_0" localSheetId="39">'Div 2'!$D$95:$D$96</definedName>
    <definedName name="OSRRefD22_19x_0" localSheetId="47">'Div 3'!$D$192:$D$196</definedName>
    <definedName name="OSRRefD22_19x_0" localSheetId="70">'Div 4'!$D$98:$D$108</definedName>
    <definedName name="OSRRefD22_19x_0" localSheetId="2">Summary!$D$217:$D$220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'300'!$D$130:$D$139</definedName>
    <definedName name="OSRRefD22_1x_0" localSheetId="49">'300 &amp; 317'!$D$152:$D$161</definedName>
    <definedName name="OSRRefD22_1x_0" localSheetId="50">'301'!$D$31:$D$40</definedName>
    <definedName name="OSRRefD22_1x_0" localSheetId="52">'307'!$D$48:$D$57</definedName>
    <definedName name="OSRRefD22_1x_0" localSheetId="53">'308'!$D$68:$D$77</definedName>
    <definedName name="OSRRefD22_1x_0" localSheetId="64">'309'!$D$31:$D$40</definedName>
    <definedName name="OSRRefD22_1x_0" localSheetId="63">'310'!$D$38:$D$47</definedName>
    <definedName name="OSRRefD22_1x_0" localSheetId="71">'310 &amp; 491'!$D$42:$D$51</definedName>
    <definedName name="OSRRefD22_1x_0" localSheetId="54">'311'!$D$67:$D$76</definedName>
    <definedName name="OSRRefD22_1x_0" localSheetId="65">'313'!$D$33:$D$42</definedName>
    <definedName name="OSRRefD22_1x_0" localSheetId="57">'315'!$D$90:$D$99</definedName>
    <definedName name="OSRRefD22_1x_0" localSheetId="60">'316'!$D$42:$D$51</definedName>
    <definedName name="OSRRefD22_1x_0" localSheetId="62">'317'!$D$61:$D$70</definedName>
    <definedName name="OSRRefD22_1x_0" localSheetId="66">'321'!$D$36:$D$45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'326'!$D$57:$D$66</definedName>
    <definedName name="OSRRefD22_1x_0" localSheetId="51">'330'!$D$48:$D$57</definedName>
    <definedName name="OSRRefD22_1x_0" localSheetId="56">'331'!$D$91:$D$100</definedName>
    <definedName name="OSRRefD22_1x_0" localSheetId="59">'332'!$D$42:$D$51</definedName>
    <definedName name="OSRRefD22_1x_0" localSheetId="73">'405'!$D$33:$D$42</definedName>
    <definedName name="OSRRefD22_1x_0" localSheetId="74">'406'!$D$22</definedName>
    <definedName name="OSRRefD22_1x_0" localSheetId="76">'411'!$D$30:$D$39</definedName>
    <definedName name="OSRRefD22_1x_0" localSheetId="77">'412'!$D$31:$D$40</definedName>
    <definedName name="OSRRefD22_1x_0" localSheetId="78">'413'!$D$33:$D$42</definedName>
    <definedName name="OSRRefD22_1x_0" localSheetId="79">'414'!$D$35:$D$44</definedName>
    <definedName name="OSRRefD22_1x_0" localSheetId="80">'415'!$D$37:$D$46</definedName>
    <definedName name="OSRRefD22_1x_0" localSheetId="81">'418'!$D$32:$D$41</definedName>
    <definedName name="OSRRefD22_1x_0" localSheetId="83">'423'!$D$29:$D$38</definedName>
    <definedName name="OSRRefD22_1x_0" localSheetId="84">'424'!$D$22</definedName>
    <definedName name="OSRRefD22_1x_0" localSheetId="85">'425'!$D$26</definedName>
    <definedName name="OSRRefD22_1x_0" localSheetId="88">'430'!$D$30:$D$39</definedName>
    <definedName name="OSRRefD22_1x_0" localSheetId="89">'433'!$D$38:$D$47</definedName>
    <definedName name="OSRRefD22_1x_0" localSheetId="91">'444'!$D$38:$D$47</definedName>
    <definedName name="OSRRefD22_1x_0" localSheetId="93">'450'!$D$34:$D$43</definedName>
    <definedName name="OSRRefD22_1x_0" localSheetId="72">'491'!$D$39:$D$48</definedName>
    <definedName name="OSRRefD22_1x_0" localSheetId="87">'492'!$D$38:$D$47</definedName>
    <definedName name="OSRRefD22_1x_0" localSheetId="95">'501'!$D$32:$D$41</definedName>
    <definedName name="OSRRefD22_1x_0" localSheetId="39">'Div 2'!$D$33:$D$42</definedName>
    <definedName name="OSRRefD22_1x_0" localSheetId="47">'Div 3'!$D$134:$D$143</definedName>
    <definedName name="OSRRefD22_1x_0" localSheetId="70">'Div 4'!$D$42:$D$51</definedName>
    <definedName name="OSRRefD22_1x_0" localSheetId="94">'Div 5'!$D$32:$D$41</definedName>
    <definedName name="OSRRefD22_1x_0" localSheetId="61">'Div 6'!$D$61:$D$70</definedName>
    <definedName name="OSRRefD22_1x_0" localSheetId="2">Summary!$D$161:$D$170</definedName>
    <definedName name="OSRRefD22_20x_0" localSheetId="48">'300'!$D$194:$D$202</definedName>
    <definedName name="OSRRefD22_20x_0" localSheetId="49">'300 &amp; 317'!$D$216:$D$224</definedName>
    <definedName name="OSRRefD22_20x_0" localSheetId="50">'301'!$D$91:$D$92</definedName>
    <definedName name="OSRRefD22_20x_0" localSheetId="63">'310'!$D$100</definedName>
    <definedName name="OSRRefD22_20x_0" localSheetId="71">'310 &amp; 491'!$D$112:$D$114</definedName>
    <definedName name="OSRRefD22_20x_0" localSheetId="58">'326'!$D$117</definedName>
    <definedName name="OSRRefD22_20x_0" localSheetId="56">'331'!$D$155</definedName>
    <definedName name="OSRRefD22_20x_0" localSheetId="72">'491'!$D$108:$D$110</definedName>
    <definedName name="OSRRefD22_20x_0" localSheetId="47">'Div 3'!$D$198:$D$199</definedName>
    <definedName name="OSRRefD22_20x_0" localSheetId="70">'Div 4'!$D$110:$D$111</definedName>
    <definedName name="OSRRefD22_20x_0" localSheetId="2">Summary!$D$222:$D$226</definedName>
    <definedName name="OSRRefD22_21x_0" localSheetId="48">'300'!$D$204:$D$205</definedName>
    <definedName name="OSRRefD22_21x_0" localSheetId="49">'300 &amp; 317'!$D$226:$D$227</definedName>
    <definedName name="OSRRefD22_21x_0" localSheetId="50">'301'!$D$94</definedName>
    <definedName name="OSRRefD22_21x_0" localSheetId="63">'310'!$D$102</definedName>
    <definedName name="OSRRefD22_21x_0" localSheetId="71">'310 &amp; 491'!$D$116</definedName>
    <definedName name="OSRRefD22_21x_0" localSheetId="56">'331'!$D$157:$D$158</definedName>
    <definedName name="OSRRefD22_21x_0" localSheetId="72">'491'!$D$112</definedName>
    <definedName name="OSRRefD22_21x_0" localSheetId="47">'Div 3'!$D$201:$D$209</definedName>
    <definedName name="OSRRefD22_21x_0" localSheetId="70">'Div 4'!$D$113</definedName>
    <definedName name="OSRRefD22_21x_0" localSheetId="2">Summary!$D$228:$D$229</definedName>
    <definedName name="OSRRefD22_22x_0" localSheetId="48">'300'!$D$207</definedName>
    <definedName name="OSRRefD22_22x_0" localSheetId="49">'300 &amp; 317'!$D$229</definedName>
    <definedName name="OSRRefD22_22x_0" localSheetId="56">'331'!$D$160</definedName>
    <definedName name="OSRRefD22_22x_0" localSheetId="47">'Div 3'!$D$211:$D$212</definedName>
    <definedName name="OSRRefD22_22x_0" localSheetId="70">'Div 4'!$D$115:$D$117</definedName>
    <definedName name="OSRRefD22_22x_0" localSheetId="2">Summary!$D$231:$D$241</definedName>
    <definedName name="OSRRefD22_23x_0" localSheetId="48">'300'!$D$209:$D$211</definedName>
    <definedName name="OSRRefD22_23x_0" localSheetId="49">'300 &amp; 317'!$D$231:$D$233</definedName>
    <definedName name="OSRRefD22_23x_0" localSheetId="47">'Div 3'!$D$214</definedName>
    <definedName name="OSRRefD22_23x_0" localSheetId="70">'Div 4'!$D$119</definedName>
    <definedName name="OSRRefD22_23x_0" localSheetId="2">Summary!$D$243:$D$244</definedName>
    <definedName name="OSRRefD22_24x_0" localSheetId="48">'300'!$D$213</definedName>
    <definedName name="OSRRefD22_24x_0" localSheetId="49">'300 &amp; 317'!$D$235</definedName>
    <definedName name="OSRRefD22_24x_0" localSheetId="47">'Div 3'!$D$216:$D$218</definedName>
    <definedName name="OSRRefD22_24x_0" localSheetId="2">Summary!$D$246</definedName>
    <definedName name="OSRRefD22_25x_0" localSheetId="47">'Div 3'!$D$220</definedName>
    <definedName name="OSRRefD22_25x_0" localSheetId="2">Summary!$D$248:$D$250</definedName>
    <definedName name="OSRRefD22_26x_0" localSheetId="2">Summary!$D$252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'300'!$D$141</definedName>
    <definedName name="OSRRefD22_2x_0" localSheetId="49">'300 &amp; 317'!$D$163</definedName>
    <definedName name="OSRRefD22_2x_0" localSheetId="50">'301'!$D$42</definedName>
    <definedName name="OSRRefD22_2x_0" localSheetId="52">'307'!$D$59</definedName>
    <definedName name="OSRRefD22_2x_0" localSheetId="53">'308'!$D$79</definedName>
    <definedName name="OSRRefD22_2x_0" localSheetId="64">'309'!$D$42</definedName>
    <definedName name="OSRRefD22_2x_0" localSheetId="63">'310'!$D$49</definedName>
    <definedName name="OSRRefD22_2x_0" localSheetId="71">'310 &amp; 491'!$D$53</definedName>
    <definedName name="OSRRefD22_2x_0" localSheetId="54">'311'!$D$78</definedName>
    <definedName name="OSRRefD22_2x_0" localSheetId="65">'313'!$D$44</definedName>
    <definedName name="OSRRefD22_2x_0" localSheetId="57">'315'!$D$101</definedName>
    <definedName name="OSRRefD22_2x_0" localSheetId="60">'316'!$D$53</definedName>
    <definedName name="OSRRefD22_2x_0" localSheetId="62">'317'!$D$72</definedName>
    <definedName name="OSRRefD22_2x_0" localSheetId="66">'321'!$D$47</definedName>
    <definedName name="OSRRefD22_2x_0" localSheetId="67">'322'!$D$43</definedName>
    <definedName name="OSRRefD22_2x_0" localSheetId="68">'325'!$D$45</definedName>
    <definedName name="OSRRefD22_2x_0" localSheetId="58">'326'!$D$68</definedName>
    <definedName name="OSRRefD22_2x_0" localSheetId="51">'330'!$D$59</definedName>
    <definedName name="OSRRefD22_2x_0" localSheetId="56">'331'!$D$102</definedName>
    <definedName name="OSRRefD22_2x_0" localSheetId="59">'332'!$D$53</definedName>
    <definedName name="OSRRefD22_2x_0" localSheetId="73">'405'!$D$44</definedName>
    <definedName name="OSRRefD22_2x_0" localSheetId="74">'406'!$D$24</definedName>
    <definedName name="OSRRefD22_2x_0" localSheetId="76">'411'!$D$41</definedName>
    <definedName name="OSRRefD22_2x_0" localSheetId="77">'412'!$D$42</definedName>
    <definedName name="OSRRefD22_2x_0" localSheetId="78">'413'!$D$44</definedName>
    <definedName name="OSRRefD22_2x_0" localSheetId="79">'414'!$D$46</definedName>
    <definedName name="OSRRefD22_2x_0" localSheetId="80">'415'!$D$48</definedName>
    <definedName name="OSRRefD22_2x_0" localSheetId="81">'418'!$D$43</definedName>
    <definedName name="OSRRefD22_2x_0" localSheetId="83">'423'!$D$40</definedName>
    <definedName name="OSRRefD22_2x_0" localSheetId="84">'424'!$D$24</definedName>
    <definedName name="OSRRefD22_2x_0" localSheetId="85">'425'!$D$28</definedName>
    <definedName name="OSRRefD22_2x_0" localSheetId="88">'430'!$D$41</definedName>
    <definedName name="OSRRefD22_2x_0" localSheetId="89">'433'!$D$49</definedName>
    <definedName name="OSRRefD22_2x_0" localSheetId="91">'444'!$D$49</definedName>
    <definedName name="OSRRefD22_2x_0" localSheetId="93">'450'!$D$45</definedName>
    <definedName name="OSRRefD22_2x_0" localSheetId="72">'491'!$D$50</definedName>
    <definedName name="OSRRefD22_2x_0" localSheetId="87">'492'!$D$49</definedName>
    <definedName name="OSRRefD22_2x_0" localSheetId="95">'501'!$D$43</definedName>
    <definedName name="OSRRefD22_2x_0" localSheetId="39">'Div 2'!$D$44</definedName>
    <definedName name="OSRRefD22_2x_0" localSheetId="47">'Div 3'!$D$145</definedName>
    <definedName name="OSRRefD22_2x_0" localSheetId="70">'Div 4'!$D$53</definedName>
    <definedName name="OSRRefD22_2x_0" localSheetId="94">'Div 5'!$D$43</definedName>
    <definedName name="OSRRefD22_2x_0" localSheetId="61">'Div 6'!$D$72</definedName>
    <definedName name="OSRRefD22_2x_0" localSheetId="2">Summary!$D$172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'300'!$D$143:$D$144</definedName>
    <definedName name="OSRRefD22_3x_0" localSheetId="49">'300 &amp; 317'!$D$165:$D$166</definedName>
    <definedName name="OSRRefD22_3x_0" localSheetId="50">'301'!$D$44:$D$45</definedName>
    <definedName name="OSRRefD22_3x_0" localSheetId="52">'307'!$D$61</definedName>
    <definedName name="OSRRefD22_3x_0" localSheetId="53">'308'!$D$81:$D$82</definedName>
    <definedName name="OSRRefD22_3x_0" localSheetId="64">'309'!$D$44</definedName>
    <definedName name="OSRRefD22_3x_0" localSheetId="63">'310'!$D$51</definedName>
    <definedName name="OSRRefD22_3x_0" localSheetId="71">'310 &amp; 491'!$D$55</definedName>
    <definedName name="OSRRefD22_3x_0" localSheetId="54">'311'!$D$80:$D$81</definedName>
    <definedName name="OSRRefD22_3x_0" localSheetId="65">'313'!$D$46</definedName>
    <definedName name="OSRRefD22_3x_0" localSheetId="57">'315'!$D$103</definedName>
    <definedName name="OSRRefD22_3x_0" localSheetId="60">'316'!$D$55</definedName>
    <definedName name="OSRRefD22_3x_0" localSheetId="62">'317'!$D$74</definedName>
    <definedName name="OSRRefD22_3x_0" localSheetId="66">'321'!$D$49</definedName>
    <definedName name="OSRRefD22_3x_0" localSheetId="67">'322'!$D$45</definedName>
    <definedName name="OSRRefD22_3x_0" localSheetId="68">'325'!$D$47</definedName>
    <definedName name="OSRRefD22_3x_0" localSheetId="58">'326'!$D$70</definedName>
    <definedName name="OSRRefD22_3x_0" localSheetId="51">'330'!$D$61</definedName>
    <definedName name="OSRRefD22_3x_0" localSheetId="56">'331'!$D$104</definedName>
    <definedName name="OSRRefD22_3x_0" localSheetId="59">'332'!$D$55</definedName>
    <definedName name="OSRRefD22_3x_0" localSheetId="73">'405'!$D$46</definedName>
    <definedName name="OSRRefD22_3x_0" localSheetId="74">'406'!$D$26</definedName>
    <definedName name="OSRRefD22_3x_0" localSheetId="76">'411'!$D$43</definedName>
    <definedName name="OSRRefD22_3x_0" localSheetId="77">'412'!$D$44</definedName>
    <definedName name="OSRRefD22_3x_0" localSheetId="78">'413'!$D$46</definedName>
    <definedName name="OSRRefD22_3x_0" localSheetId="79">'414'!$D$48</definedName>
    <definedName name="OSRRefD22_3x_0" localSheetId="80">'415'!$D$50</definedName>
    <definedName name="OSRRefD22_3x_0" localSheetId="81">'418'!$D$45</definedName>
    <definedName name="OSRRefD22_3x_0" localSheetId="83">'423'!$D$42:$D$43</definedName>
    <definedName name="OSRRefD22_3x_0" localSheetId="84">'424'!$D$26</definedName>
    <definedName name="OSRRefD22_3x_0" localSheetId="85">'425'!$D$30</definedName>
    <definedName name="OSRRefD22_3x_0" localSheetId="88">'430'!$D$43</definedName>
    <definedName name="OSRRefD22_3x_0" localSheetId="89">'433'!$D$51</definedName>
    <definedName name="OSRRefD22_3x_0" localSheetId="91">'444'!$D$51</definedName>
    <definedName name="OSRRefD22_3x_0" localSheetId="93">'450'!$D$47</definedName>
    <definedName name="OSRRefD22_3x_0" localSheetId="72">'491'!$D$52</definedName>
    <definedName name="OSRRefD22_3x_0" localSheetId="87">'492'!$D$51</definedName>
    <definedName name="OSRRefD22_3x_0" localSheetId="95">'501'!$D$45</definedName>
    <definedName name="OSRRefD22_3x_0" localSheetId="39">'Div 2'!$D$46</definedName>
    <definedName name="OSRRefD22_3x_0" localSheetId="47">'Div 3'!$D$147:$D$148</definedName>
    <definedName name="OSRRefD22_3x_0" localSheetId="70">'Div 4'!$D$55</definedName>
    <definedName name="OSRRefD22_3x_0" localSheetId="94">'Div 5'!$D$45</definedName>
    <definedName name="OSRRefD22_3x_0" localSheetId="61">'Div 6'!$D$74</definedName>
    <definedName name="OSRRefD22_3x_0" localSheetId="2">Summary!$D$174:$D$175</definedName>
    <definedName name="OSRRefD22_4x_0" localSheetId="40">'200'!$D$28:$D$29</definedName>
    <definedName name="OSRRefD22_4x_0" localSheetId="41">'201'!$D$46:$D$47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'300'!$D$146</definedName>
    <definedName name="OSRRefD22_4x_0" localSheetId="49">'300 &amp; 317'!$D$168</definedName>
    <definedName name="OSRRefD22_4x_0" localSheetId="50">'301'!$D$47</definedName>
    <definedName name="OSRRefD22_4x_0" localSheetId="52">'307'!$D$63</definedName>
    <definedName name="OSRRefD22_4x_0" localSheetId="53">'308'!$D$84</definedName>
    <definedName name="OSRRefD22_4x_0" localSheetId="64">'309'!$D$46</definedName>
    <definedName name="OSRRefD22_4x_0" localSheetId="63">'310'!$D$53</definedName>
    <definedName name="OSRRefD22_4x_0" localSheetId="71">'310 &amp; 491'!$D$57</definedName>
    <definedName name="OSRRefD22_4x_0" localSheetId="54">'311'!$D$83</definedName>
    <definedName name="OSRRefD22_4x_0" localSheetId="65">'313'!$D$48</definedName>
    <definedName name="OSRRefD22_4x_0" localSheetId="57">'315'!$D$105</definedName>
    <definedName name="OSRRefD22_4x_0" localSheetId="60">'316'!$D$57</definedName>
    <definedName name="OSRRefD22_4x_0" localSheetId="62">'317'!$D$76</definedName>
    <definedName name="OSRRefD22_4x_0" localSheetId="66">'321'!$D$51</definedName>
    <definedName name="OSRRefD22_4x_0" localSheetId="67">'322'!$D$47</definedName>
    <definedName name="OSRRefD22_4x_0" localSheetId="68">'325'!$D$49</definedName>
    <definedName name="OSRRefD22_4x_0" localSheetId="58">'326'!$D$72</definedName>
    <definedName name="OSRRefD22_4x_0" localSheetId="51">'330'!$D$63</definedName>
    <definedName name="OSRRefD22_4x_0" localSheetId="56">'331'!$D$106</definedName>
    <definedName name="OSRRefD22_4x_0" localSheetId="59">'332'!$D$57</definedName>
    <definedName name="OSRRefD22_4x_0" localSheetId="73">'405'!$D$48:$D$49</definedName>
    <definedName name="OSRRefD22_4x_0" localSheetId="74">'406'!$D$28</definedName>
    <definedName name="OSRRefD22_4x_0" localSheetId="76">'411'!$D$45:$D$46</definedName>
    <definedName name="OSRRefD22_4x_0" localSheetId="77">'412'!$D$46:$D$47</definedName>
    <definedName name="OSRRefD22_4x_0" localSheetId="78">'413'!$D$48</definedName>
    <definedName name="OSRRefD22_4x_0" localSheetId="79">'414'!$D$50</definedName>
    <definedName name="OSRRefD22_4x_0" localSheetId="80">'415'!$D$52</definedName>
    <definedName name="OSRRefD22_4x_0" localSheetId="81">'418'!$D$47:$D$48</definedName>
    <definedName name="OSRRefD22_4x_0" localSheetId="83">'423'!$D$45</definedName>
    <definedName name="OSRRefD22_4x_0" localSheetId="85">'425'!$D$32:$D$33</definedName>
    <definedName name="OSRRefD22_4x_0" localSheetId="88">'430'!$D$45:$D$47</definedName>
    <definedName name="OSRRefD22_4x_0" localSheetId="89">'433'!$D$53</definedName>
    <definedName name="OSRRefD22_4x_0" localSheetId="91">'444'!$D$53</definedName>
    <definedName name="OSRRefD22_4x_0" localSheetId="93">'450'!$D$49</definedName>
    <definedName name="OSRRefD22_4x_0" localSheetId="72">'491'!$D$54</definedName>
    <definedName name="OSRRefD22_4x_0" localSheetId="87">'492'!$D$53</definedName>
    <definedName name="OSRRefD22_4x_0" localSheetId="95">'501'!$D$47</definedName>
    <definedName name="OSRRefD22_4x_0" localSheetId="39">'Div 2'!$D$48</definedName>
    <definedName name="OSRRefD22_4x_0" localSheetId="47">'Div 3'!$D$150</definedName>
    <definedName name="OSRRefD22_4x_0" localSheetId="70">'Div 4'!$D$57</definedName>
    <definedName name="OSRRefD22_4x_0" localSheetId="94">'Div 5'!$D$47</definedName>
    <definedName name="OSRRefD22_4x_0" localSheetId="61">'Div 6'!$D$76</definedName>
    <definedName name="OSRRefD22_4x_0" localSheetId="2">Summary!$D$177</definedName>
    <definedName name="OSRRefD22_5x_0" localSheetId="41">'201'!$D$49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'300'!$D$148:$D$149</definedName>
    <definedName name="OSRRefD22_5x_0" localSheetId="49">'300 &amp; 317'!$D$170:$D$171</definedName>
    <definedName name="OSRRefD22_5x_0" localSheetId="50">'301'!$D$49:$D$50</definedName>
    <definedName name="OSRRefD22_5x_0" localSheetId="52">'307'!$D$65:$D$66</definedName>
    <definedName name="OSRRefD22_5x_0" localSheetId="53">'308'!$D$86</definedName>
    <definedName name="OSRRefD22_5x_0" localSheetId="64">'309'!$D$48</definedName>
    <definedName name="OSRRefD22_5x_0" localSheetId="63">'310'!$D$55:$D$56</definedName>
    <definedName name="OSRRefD22_5x_0" localSheetId="71">'310 &amp; 491'!$D$59:$D$61</definedName>
    <definedName name="OSRRefD22_5x_0" localSheetId="54">'311'!$D$85</definedName>
    <definedName name="OSRRefD22_5x_0" localSheetId="65">'313'!$D$50</definedName>
    <definedName name="OSRRefD22_5x_0" localSheetId="57">'315'!$D$107</definedName>
    <definedName name="OSRRefD22_5x_0" localSheetId="60">'316'!$D$59</definedName>
    <definedName name="OSRRefD22_5x_0" localSheetId="62">'317'!$D$78</definedName>
    <definedName name="OSRRefD22_5x_0" localSheetId="66">'321'!$D$53</definedName>
    <definedName name="OSRRefD22_5x_0" localSheetId="67">'322'!$D$49</definedName>
    <definedName name="OSRRefD22_5x_0" localSheetId="68">'325'!$D$51:$D$52</definedName>
    <definedName name="OSRRefD22_5x_0" localSheetId="58">'326'!$D$74</definedName>
    <definedName name="OSRRefD22_5x_0" localSheetId="51">'330'!$D$65:$D$66</definedName>
    <definedName name="OSRRefD22_5x_0" localSheetId="56">'331'!$D$108</definedName>
    <definedName name="OSRRefD22_5x_0" localSheetId="59">'332'!$D$59</definedName>
    <definedName name="OSRRefD22_5x_0" localSheetId="73">'405'!$D$51</definedName>
    <definedName name="OSRRefD22_5x_0" localSheetId="76">'411'!$D$48</definedName>
    <definedName name="OSRRefD22_5x_0" localSheetId="77">'412'!$D$49</definedName>
    <definedName name="OSRRefD22_5x_0" localSheetId="78">'413'!$D$50</definedName>
    <definedName name="OSRRefD22_5x_0" localSheetId="79">'414'!$D$52</definedName>
    <definedName name="OSRRefD22_5x_0" localSheetId="80">'415'!$D$54:$D$55</definedName>
    <definedName name="OSRRefD22_5x_0" localSheetId="81">'418'!$D$50</definedName>
    <definedName name="OSRRefD22_5x_0" localSheetId="83">'423'!$D$47</definedName>
    <definedName name="OSRRefD22_5x_0" localSheetId="85">'425'!$D$35</definedName>
    <definedName name="OSRRefD22_5x_0" localSheetId="88">'430'!$D$49:$D$50</definedName>
    <definedName name="OSRRefD22_5x_0" localSheetId="89">'433'!$D$55</definedName>
    <definedName name="OSRRefD22_5x_0" localSheetId="91">'444'!$D$55</definedName>
    <definedName name="OSRRefD22_5x_0" localSheetId="93">'450'!$D$51</definedName>
    <definedName name="OSRRefD22_5x_0" localSheetId="72">'491'!$D$56:$D$58</definedName>
    <definedName name="OSRRefD22_5x_0" localSheetId="87">'492'!$D$55</definedName>
    <definedName name="OSRRefD22_5x_0" localSheetId="95">'501'!$D$49:$D$50</definedName>
    <definedName name="OSRRefD22_5x_0" localSheetId="39">'Div 2'!$D$50:$D$51</definedName>
    <definedName name="OSRRefD22_5x_0" localSheetId="47">'Div 3'!$D$152:$D$153</definedName>
    <definedName name="OSRRefD22_5x_0" localSheetId="70">'Div 4'!$D$59:$D$61</definedName>
    <definedName name="OSRRefD22_5x_0" localSheetId="94">'Div 5'!$D$49:$D$50</definedName>
    <definedName name="OSRRefD22_5x_0" localSheetId="61">'Div 6'!$D$78</definedName>
    <definedName name="OSRRefD22_5x_0" localSheetId="2">Summary!$D$179:$D$181</definedName>
    <definedName name="OSRRefD22_6x_0" localSheetId="41">'201'!$D$51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'205'!$D$50:$D$52</definedName>
    <definedName name="OSRRefD22_6x_0" localSheetId="46">'206'!$D$49</definedName>
    <definedName name="OSRRefD22_6x_0" localSheetId="48">'300'!$D$151:$D$152</definedName>
    <definedName name="OSRRefD22_6x_0" localSheetId="49">'300 &amp; 317'!$D$173:$D$174</definedName>
    <definedName name="OSRRefD22_6x_0" localSheetId="50">'301'!$D$52</definedName>
    <definedName name="OSRRefD22_6x_0" localSheetId="52">'307'!$D$68</definedName>
    <definedName name="OSRRefD22_6x_0" localSheetId="53">'308'!$D$88:$D$89</definedName>
    <definedName name="OSRRefD22_6x_0" localSheetId="64">'309'!$D$50</definedName>
    <definedName name="OSRRefD22_6x_0" localSheetId="63">'310'!$D$58</definedName>
    <definedName name="OSRRefD22_6x_0" localSheetId="71">'310 &amp; 491'!$D$63</definedName>
    <definedName name="OSRRefD22_6x_0" localSheetId="54">'311'!$D$87:$D$88</definedName>
    <definedName name="OSRRefD22_6x_0" localSheetId="65">'313'!$D$52:$D$53</definedName>
    <definedName name="OSRRefD22_6x_0" localSheetId="57">'315'!$D$109</definedName>
    <definedName name="OSRRefD22_6x_0" localSheetId="60">'316'!$D$61:$D$62</definedName>
    <definedName name="OSRRefD22_6x_0" localSheetId="62">'317'!$D$80:$D$81</definedName>
    <definedName name="OSRRefD22_6x_0" localSheetId="66">'321'!$D$55</definedName>
    <definedName name="OSRRefD22_6x_0" localSheetId="67">'322'!$D$51</definedName>
    <definedName name="OSRRefD22_6x_0" localSheetId="68">'325'!$D$54</definedName>
    <definedName name="OSRRefD22_6x_0" localSheetId="58">'326'!$D$76</definedName>
    <definedName name="OSRRefD22_6x_0" localSheetId="51">'330'!$D$68</definedName>
    <definedName name="OSRRefD22_6x_0" localSheetId="56">'331'!$D$110</definedName>
    <definedName name="OSRRefD22_6x_0" localSheetId="59">'332'!$D$61:$D$62</definedName>
    <definedName name="OSRRefD22_6x_0" localSheetId="73">'405'!$D$53</definedName>
    <definedName name="OSRRefD22_6x_0" localSheetId="76">'411'!$D$50</definedName>
    <definedName name="OSRRefD22_6x_0" localSheetId="77">'412'!$D$51</definedName>
    <definedName name="OSRRefD22_6x_0" localSheetId="78">'413'!$D$52</definedName>
    <definedName name="OSRRefD22_6x_0" localSheetId="79">'414'!$D$54</definedName>
    <definedName name="OSRRefD22_6x_0" localSheetId="80">'415'!$D$57</definedName>
    <definedName name="OSRRefD22_6x_0" localSheetId="81">'418'!$D$52</definedName>
    <definedName name="OSRRefD22_6x_0" localSheetId="83">'423'!$D$49</definedName>
    <definedName name="OSRRefD22_6x_0" localSheetId="88">'430'!$D$52</definedName>
    <definedName name="OSRRefD22_6x_0" localSheetId="89">'433'!$D$57</definedName>
    <definedName name="OSRRefD22_6x_0" localSheetId="91">'444'!$D$57</definedName>
    <definedName name="OSRRefD22_6x_0" localSheetId="93">'450'!$D$53</definedName>
    <definedName name="OSRRefD22_6x_0" localSheetId="72">'491'!$D$60</definedName>
    <definedName name="OSRRefD22_6x_0" localSheetId="87">'492'!$D$57</definedName>
    <definedName name="OSRRefD22_6x_0" localSheetId="95">'501'!$D$52</definedName>
    <definedName name="OSRRefD22_6x_0" localSheetId="39">'Div 2'!$D$53:$D$54</definedName>
    <definedName name="OSRRefD22_6x_0" localSheetId="47">'Div 3'!$D$155:$D$156</definedName>
    <definedName name="OSRRefD22_6x_0" localSheetId="70">'Div 4'!$D$63</definedName>
    <definedName name="OSRRefD22_6x_0" localSheetId="94">'Div 5'!$D$52</definedName>
    <definedName name="OSRRefD22_6x_0" localSheetId="61">'Div 6'!$D$80:$D$81</definedName>
    <definedName name="OSRRefD22_6x_0" localSheetId="2">Summary!$D$183:$D$184</definedName>
    <definedName name="OSRRefD22_7x_0" localSheetId="41">'201'!$D$53</definedName>
    <definedName name="OSRRefD22_7x_0" localSheetId="42">'202'!$D$53:$D$55</definedName>
    <definedName name="OSRRefD22_7x_0" localSheetId="43">'203'!$D$52:$D$53</definedName>
    <definedName name="OSRRefD22_7x_0" localSheetId="44">'204'!$D$53:$D$55</definedName>
    <definedName name="OSRRefD22_7x_0" localSheetId="45">'205'!$D$54</definedName>
    <definedName name="OSRRefD22_7x_0" localSheetId="46">'206'!$D$51</definedName>
    <definedName name="OSRRefD22_7x_0" localSheetId="48">'300'!$D$154:$D$155</definedName>
    <definedName name="OSRRefD22_7x_0" localSheetId="49">'300 &amp; 317'!$D$176:$D$177</definedName>
    <definedName name="OSRRefD22_7x_0" localSheetId="50">'301'!$D$54</definedName>
    <definedName name="OSRRefD22_7x_0" localSheetId="52">'307'!$D$70</definedName>
    <definedName name="OSRRefD22_7x_0" localSheetId="53">'308'!$D$91:$D$92</definedName>
    <definedName name="OSRRefD22_7x_0" localSheetId="64">'309'!$D$52:$D$53</definedName>
    <definedName name="OSRRefD22_7x_0" localSheetId="63">'310'!$D$60</definedName>
    <definedName name="OSRRefD22_7x_0" localSheetId="71">'310 &amp; 491'!$D$65</definedName>
    <definedName name="OSRRefD22_7x_0" localSheetId="54">'311'!$D$90:$D$91</definedName>
    <definedName name="OSRRefD22_7x_0" localSheetId="65">'313'!$D$55</definedName>
    <definedName name="OSRRefD22_7x_0" localSheetId="57">'315'!$D$111:$D$112</definedName>
    <definedName name="OSRRefD22_7x_0" localSheetId="60">'316'!$D$64:$D$65</definedName>
    <definedName name="OSRRefD22_7x_0" localSheetId="62">'317'!$D$83</definedName>
    <definedName name="OSRRefD22_7x_0" localSheetId="66">'321'!$D$57:$D$58</definedName>
    <definedName name="OSRRefD22_7x_0" localSheetId="67">'322'!$D$53:$D$54</definedName>
    <definedName name="OSRRefD22_7x_0" localSheetId="68">'325'!$D$56</definedName>
    <definedName name="OSRRefD22_7x_0" localSheetId="58">'326'!$D$78</definedName>
    <definedName name="OSRRefD22_7x_0" localSheetId="51">'330'!$D$70</definedName>
    <definedName name="OSRRefD22_7x_0" localSheetId="56">'331'!$D$112</definedName>
    <definedName name="OSRRefD22_7x_0" localSheetId="59">'332'!$D$64:$D$65</definedName>
    <definedName name="OSRRefD22_7x_0" localSheetId="73">'405'!$D$55</definedName>
    <definedName name="OSRRefD22_7x_0" localSheetId="76">'411'!$D$52</definedName>
    <definedName name="OSRRefD22_7x_0" localSheetId="77">'412'!$D$53</definedName>
    <definedName name="OSRRefD22_7x_0" localSheetId="78">'413'!$D$54</definedName>
    <definedName name="OSRRefD22_7x_0" localSheetId="79">'414'!$D$56</definedName>
    <definedName name="OSRRefD22_7x_0" localSheetId="80">'415'!$D$59</definedName>
    <definedName name="OSRRefD22_7x_0" localSheetId="81">'418'!$D$54</definedName>
    <definedName name="OSRRefD22_7x_0" localSheetId="88">'430'!$D$54</definedName>
    <definedName name="OSRRefD22_7x_0" localSheetId="89">'433'!$D$59</definedName>
    <definedName name="OSRRefD22_7x_0" localSheetId="91">'444'!$D$59</definedName>
    <definedName name="OSRRefD22_7x_0" localSheetId="93">'450'!$D$55</definedName>
    <definedName name="OSRRefD22_7x_0" localSheetId="72">'491'!$D$62</definedName>
    <definedName name="OSRRefD22_7x_0" localSheetId="87">'492'!$D$59</definedName>
    <definedName name="OSRRefD22_7x_0" localSheetId="95">'501'!$D$54</definedName>
    <definedName name="OSRRefD22_7x_0" localSheetId="39">'Div 2'!$D$56</definedName>
    <definedName name="OSRRefD22_7x_0" localSheetId="47">'Div 3'!$D$158:$D$159</definedName>
    <definedName name="OSRRefD22_7x_0" localSheetId="70">'Div 4'!$D$65</definedName>
    <definedName name="OSRRefD22_7x_0" localSheetId="94">'Div 5'!$D$54</definedName>
    <definedName name="OSRRefD22_7x_0" localSheetId="61">'Div 6'!$D$83</definedName>
    <definedName name="OSRRefD22_7x_0" localSheetId="2">Summary!$D$186:$D$187</definedName>
    <definedName name="OSRRefD22_8x_0" localSheetId="41">'201'!$D$55</definedName>
    <definedName name="OSRRefD22_8x_0" localSheetId="42">'202'!$D$57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'300'!$D$157</definedName>
    <definedName name="OSRRefD22_8x_0" localSheetId="49">'300 &amp; 317'!$D$179</definedName>
    <definedName name="OSRRefD22_8x_0" localSheetId="50">'301'!$D$56</definedName>
    <definedName name="OSRRefD22_8x_0" localSheetId="52">'307'!$D$72</definedName>
    <definedName name="OSRRefD22_8x_0" localSheetId="53">'308'!$D$94</definedName>
    <definedName name="OSRRefD22_8x_0" localSheetId="64">'309'!$D$55:$D$56</definedName>
    <definedName name="OSRRefD22_8x_0" localSheetId="63">'310'!$D$62</definedName>
    <definedName name="OSRRefD22_8x_0" localSheetId="71">'310 &amp; 491'!$D$67:$D$68</definedName>
    <definedName name="OSRRefD22_8x_0" localSheetId="54">'311'!$D$93</definedName>
    <definedName name="OSRRefD22_8x_0" localSheetId="65">'313'!$D$57:$D$59</definedName>
    <definedName name="OSRRefD22_8x_0" localSheetId="57">'315'!$D$114</definedName>
    <definedName name="OSRRefD22_8x_0" localSheetId="60">'316'!$D$67</definedName>
    <definedName name="OSRRefD22_8x_0" localSheetId="62">'317'!$D$85</definedName>
    <definedName name="OSRRefD22_8x_0" localSheetId="66">'321'!$D$60:$D$61</definedName>
    <definedName name="OSRRefD22_8x_0" localSheetId="67">'322'!$D$56:$D$57</definedName>
    <definedName name="OSRRefD22_8x_0" localSheetId="68">'325'!$D$58</definedName>
    <definedName name="OSRRefD22_8x_0" localSheetId="58">'326'!$D$80:$D$81</definedName>
    <definedName name="OSRRefD22_8x_0" localSheetId="51">'330'!$D$72</definedName>
    <definedName name="OSRRefD22_8x_0" localSheetId="56">'331'!$D$114:$D$115</definedName>
    <definedName name="OSRRefD22_8x_0" localSheetId="59">'332'!$D$67</definedName>
    <definedName name="OSRRefD22_8x_0" localSheetId="73">'405'!$D$57</definedName>
    <definedName name="OSRRefD22_8x_0" localSheetId="76">'411'!$D$54</definedName>
    <definedName name="OSRRefD22_8x_0" localSheetId="77">'412'!$D$55:$D$56</definedName>
    <definedName name="OSRRefD22_8x_0" localSheetId="78">'413'!$D$56:$D$59</definedName>
    <definedName name="OSRRefD22_8x_0" localSheetId="79">'414'!$D$58:$D$59</definedName>
    <definedName name="OSRRefD22_8x_0" localSheetId="80">'415'!$D$61</definedName>
    <definedName name="OSRRefD22_8x_0" localSheetId="81">'418'!$D$56:$D$58</definedName>
    <definedName name="OSRRefD22_8x_0" localSheetId="89">'433'!$D$61</definedName>
    <definedName name="OSRRefD22_8x_0" localSheetId="91">'444'!$D$61</definedName>
    <definedName name="OSRRefD22_8x_0" localSheetId="93">'450'!$D$57</definedName>
    <definedName name="OSRRefD22_8x_0" localSheetId="72">'491'!$D$64</definedName>
    <definedName name="OSRRefD22_8x_0" localSheetId="87">'492'!$D$61</definedName>
    <definedName name="OSRRefD22_8x_0" localSheetId="95">'501'!$D$56</definedName>
    <definedName name="OSRRefD22_8x_0" localSheetId="39">'Div 2'!$D$58</definedName>
    <definedName name="OSRRefD22_8x_0" localSheetId="47">'Div 3'!$D$161</definedName>
    <definedName name="OSRRefD22_8x_0" localSheetId="70">'Div 4'!$D$67</definedName>
    <definedName name="OSRRefD22_8x_0" localSheetId="94">'Div 5'!$D$56</definedName>
    <definedName name="OSRRefD22_8x_0" localSheetId="61">'Div 6'!$D$85</definedName>
    <definedName name="OSRRefD22_8x_0" localSheetId="2">Summary!$D$189</definedName>
    <definedName name="OSRRefD22_9x_0" localSheetId="41">'201'!$D$57</definedName>
    <definedName name="OSRRefD22_9x_0" localSheetId="42">'202'!$D$59:$D$61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'300'!$D$159</definedName>
    <definedName name="OSRRefD22_9x_0" localSheetId="49">'300 &amp; 317'!$D$181</definedName>
    <definedName name="OSRRefD22_9x_0" localSheetId="50">'301'!$D$58</definedName>
    <definedName name="OSRRefD22_9x_0" localSheetId="52">'307'!$D$74:$D$75</definedName>
    <definedName name="OSRRefD22_9x_0" localSheetId="53">'308'!$D$96:$D$97</definedName>
    <definedName name="OSRRefD22_9x_0" localSheetId="64">'309'!$D$58:$D$60</definedName>
    <definedName name="OSRRefD22_9x_0" localSheetId="63">'310'!$D$64</definedName>
    <definedName name="OSRRefD22_9x_0" localSheetId="71">'310 &amp; 491'!$D$70</definedName>
    <definedName name="OSRRefD22_9x_0" localSheetId="54">'311'!$D$95:$D$96</definedName>
    <definedName name="OSRRefD22_9x_0" localSheetId="65">'313'!$D$61:$D$62</definedName>
    <definedName name="OSRRefD22_9x_0" localSheetId="57">'315'!$D$116</definedName>
    <definedName name="OSRRefD22_9x_0" localSheetId="60">'316'!$D$69:$D$73</definedName>
    <definedName name="OSRRefD22_9x_0" localSheetId="62">'317'!$D$87</definedName>
    <definedName name="OSRRefD22_9x_0" localSheetId="66">'321'!$D$63:$D$64</definedName>
    <definedName name="OSRRefD22_9x_0" localSheetId="67">'322'!$D$59:$D$62</definedName>
    <definedName name="OSRRefD22_9x_0" localSheetId="68">'325'!$D$60</definedName>
    <definedName name="OSRRefD22_9x_0" localSheetId="58">'326'!$D$83</definedName>
    <definedName name="OSRRefD22_9x_0" localSheetId="51">'330'!$D$74:$D$75</definedName>
    <definedName name="OSRRefD22_9x_0" localSheetId="56">'331'!$D$117:$D$118</definedName>
    <definedName name="OSRRefD22_9x_0" localSheetId="59">'332'!$D$69:$D$73</definedName>
    <definedName name="OSRRefD22_9x_0" localSheetId="73">'405'!$D$59:$D$60</definedName>
    <definedName name="OSRRefD22_9x_0" localSheetId="76">'411'!$D$56:$D$58</definedName>
    <definedName name="OSRRefD22_9x_0" localSheetId="77">'412'!$D$58</definedName>
    <definedName name="OSRRefD22_9x_0" localSheetId="78">'413'!$D$61:$D$62</definedName>
    <definedName name="OSRRefD22_9x_0" localSheetId="79">'414'!$D$61</definedName>
    <definedName name="OSRRefD22_9x_0" localSheetId="80">'415'!$D$63</definedName>
    <definedName name="OSRRefD22_9x_0" localSheetId="81">'418'!$D$60:$D$61</definedName>
    <definedName name="OSRRefD22_9x_0" localSheetId="89">'433'!$D$63</definedName>
    <definedName name="OSRRefD22_9x_0" localSheetId="91">'444'!$D$63</definedName>
    <definedName name="OSRRefD22_9x_0" localSheetId="93">'450'!$D$59</definedName>
    <definedName name="OSRRefD22_9x_0" localSheetId="72">'491'!$D$66</definedName>
    <definedName name="OSRRefD22_9x_0" localSheetId="87">'492'!$D$63</definedName>
    <definedName name="OSRRefD22_9x_0" localSheetId="95">'501'!$D$58:$D$61</definedName>
    <definedName name="OSRRefD22_9x_0" localSheetId="39">'Div 2'!$D$60:$D$61</definedName>
    <definedName name="OSRRefD22_9x_0" localSheetId="47">'Div 3'!$D$163</definedName>
    <definedName name="OSRRefD22_9x_0" localSheetId="70">'Div 4'!$D$69</definedName>
    <definedName name="OSRRefD22_9x_0" localSheetId="94">'Div 5'!$D$58:$D$61</definedName>
    <definedName name="OSRRefD22_9x_0" localSheetId="61">'Div 6'!$D$87</definedName>
    <definedName name="OSRRefD22_9x_0" localSheetId="2">Summary!$D$191</definedName>
    <definedName name="OSRRefD22x_0" localSheetId="40">'200'!$D$20,'200'!$D$22,'200'!$D$24,'200'!$D$26,'200'!$D$28:$D$29</definedName>
    <definedName name="OSRRefD22x_0" localSheetId="41">'201'!$D$21:$D$29,'201'!$D$31:$D$40,'201'!$D$42,'201'!$D$44,'201'!$D$46:$D$47,'201'!$D$49,'201'!$D$51,'201'!$D$53,'201'!$D$55,'201'!$D$57,'201'!$D$59:$D$61,'201'!$D$63,'201'!$D$65,'201'!$D$67:$D$69,'201'!$D$71,'201'!$D$73,'201'!$D$75</definedName>
    <definedName name="OSRRefD22x_0" localSheetId="42">'202'!$D$21:$D$29,'202'!$D$31:$D$40,'202'!$D$42,'202'!$D$44,'202'!$D$46:$D$47,'202'!$D$49,'202'!$D$51,'202'!$D$53:$D$55,'202'!$D$57,'202'!$D$59:$D$61,'202'!$D$63,'202'!$D$65,'202'!$D$67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$119:$D$128,'300'!$D$130:$D$139,'300'!$D$141,'300'!$D$143:$D$144,'300'!$D$146,'300'!$D$148:$D$149,'300'!$D$151:$D$152,'300'!$D$154:$D$155,'300'!$D$157,'300'!$D$159,'300'!$D$161:$D$162,'300'!$D$164:$D$166,'300'!$D$168,'300'!$D$170,'300'!$D$172,'300'!$D$174,'300'!$D$176:$D$179,'300'!$D$181:$D$184,'300'!$D$186:$D$189,'300'!$D$191:$D$192,'300'!$D$194:$D$202,'300'!$D$204:$D$205,'300'!$D$207,'300'!$D$209:$D$211,'300'!$D$213</definedName>
    <definedName name="OSRRefD22x_0" localSheetId="49">'300 &amp; 317'!$D$141:$D$150,'300 &amp; 317'!$D$152:$D$161,'300 &amp; 317'!$D$163,'300 &amp; 317'!$D$165:$D$166,'300 &amp; 317'!$D$168,'300 &amp; 317'!$D$170:$D$171,'300 &amp; 317'!$D$173:$D$174,'300 &amp; 317'!$D$176:$D$177,'300 &amp; 317'!$D$179,'300 &amp; 317'!$D$181,'300 &amp; 317'!$D$183:$D$184,'300 &amp; 317'!$D$186:$D$188,'300 &amp; 317'!$D$190,'300 &amp; 317'!$D$192,'300 &amp; 317'!$D$194,'300 &amp; 317'!$D$196,'300 &amp; 317'!$D$198:$D$201,'300 &amp; 317'!$D$203:$D$206,'300 &amp; 317'!$D$208:$D$211,'300 &amp; 317'!$D$213:$D$214,'300 &amp; 317'!$D$216:$D$224,'300 &amp; 317'!$D$226:$D$227,'300 &amp; 317'!$D$229,'300 &amp; 317'!$D$231:$D$233,'300 &amp; 317'!$D$235</definedName>
    <definedName name="OSRRefD22x_0" localSheetId="50">'301'!$D$20:$D$29,'301'!$D$31:$D$40,'301'!$D$42,'301'!$D$44:$D$45,'301'!$D$47,'301'!$D$49:$D$50,'301'!$D$52,'301'!$D$54,'301'!$D$56,'301'!$D$58,'301'!$D$60,'301'!$D$62,'301'!$D$64,'301'!$D$66,'301'!$D$68:$D$71,'301'!$D$73:$D$75,'301'!$D$77,'301'!$D$79:$D$85,'301'!$D$87,'301'!$D$89,'301'!$D$91:$D$92,'301'!$D$94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'308'!$D$57:$D$66,'308'!$D$68:$D$77,'308'!$D$79,'308'!$D$81:$D$82,'308'!$D$84,'308'!$D$86,'308'!$D$88:$D$89,'308'!$D$91:$D$92,'308'!$D$94,'308'!$D$96:$D$97,'308'!$D$99:$D$100,'308'!$D$102:$D$104,'308'!$D$106:$D$107,'308'!$D$109,'308'!$D$111</definedName>
    <definedName name="OSRRefD22x_0" localSheetId="64">'309'!$D$22:$D$29,'309'!$D$31:$D$40,'309'!$D$42,'309'!$D$44,'309'!$D$46,'309'!$D$48,'309'!$D$50,'309'!$D$52:$D$53,'309'!$D$55:$D$56,'309'!$D$58:$D$60,'309'!$D$62</definedName>
    <definedName name="OSRRefD22x_0" localSheetId="63">'310'!$D$28:$D$36,'310'!$D$38:$D$47,'310'!$D$49,'310'!$D$51,'310'!$D$53,'310'!$D$55:$D$56,'310'!$D$58,'310'!$D$60,'310'!$D$62,'310'!$D$64,'310'!$D$66,'310'!$D$68,'310'!$D$70,'310'!$D$72:$D$75,'310'!$D$77:$D$78,'310'!$D$80:$D$83,'310'!$D$85,'310'!$D$87:$D$93,'310'!$D$95:$D$96,'310'!$D$98,'310'!$D$100,'310'!$D$102</definedName>
    <definedName name="OSRRefD22x_0" localSheetId="71">'310 &amp; 491'!$D$32:$D$40,'310 &amp; 491'!$D$42:$D$51,'310 &amp; 491'!$D$53,'310 &amp; 491'!$D$55,'310 &amp; 491'!$D$57,'310 &amp; 491'!$D$59:$D$61,'310 &amp; 491'!$D$63,'310 &amp; 491'!$D$65,'310 &amp; 491'!$D$67:$D$68,'310 &amp; 491'!$D$70,'310 &amp; 491'!$D$72,'310 &amp; 491'!$D$74,'310 &amp; 491'!$D$76,'310 &amp; 491'!$D$78:$D$81,'310 &amp; 491'!$D$83:$D$84,'310 &amp; 491'!$D$86:$D$90,'310 &amp; 491'!$D$92:$D$93,'310 &amp; 491'!$D$95:$D$105,'310 &amp; 491'!$D$107:$D$108,'310 &amp; 491'!$D$110,'310 &amp; 491'!$D$112:$D$114,'310 &amp; 491'!$D$116</definedName>
    <definedName name="OSRRefD22x_0" localSheetId="54">'311'!$D$56:$D$65,'311'!$D$67:$D$76,'311'!$D$78,'311'!$D$80:$D$81,'311'!$D$83,'311'!$D$85,'311'!$D$87:$D$88,'311'!$D$90:$D$91,'311'!$D$93,'311'!$D$95:$D$96,'311'!$D$98:$D$99,'311'!$D$101:$D$103,'311'!$D$105:$D$106,'311'!$D$108,'311'!$D$110</definedName>
    <definedName name="OSRRefD22x_0" localSheetId="65">'313'!$D$23:$D$31,'313'!$D$33:$D$42,'313'!$D$44,'313'!$D$46,'313'!$D$48,'313'!$D$50,'313'!$D$52:$D$53,'313'!$D$55,'313'!$D$57:$D$59,'313'!$D$61:$D$62,'313'!$D$64,'313'!$D$66</definedName>
    <definedName name="OSRRefD22x_0" localSheetId="57">'315'!$D$80:$D$88,'315'!$D$90:$D$99,'315'!$D$101,'315'!$D$103,'315'!$D$105,'315'!$D$107,'315'!$D$109,'315'!$D$111:$D$112,'315'!$D$114,'315'!$D$116,'315'!$D$118,'315'!$D$120,'315'!$D$122:$D$124,'315'!$D$126:$D$127,'315'!$D$129:$D$135,'315'!$D$137,'315'!$D$139,'315'!$D$141:$D$142</definedName>
    <definedName name="OSRRefD22x_0" localSheetId="60">'316'!$D$32:$D$40,'316'!$D$42:$D$51,'316'!$D$53,'316'!$D$55,'316'!$D$57,'316'!$D$59,'316'!$D$61:$D$62,'316'!$D$64:$D$65,'316'!$D$67,'316'!$D$69:$D$73,'316'!$D$75,'316'!$D$77</definedName>
    <definedName name="OSRRefD22x_0" localSheetId="62">'317'!$D$50:$D$59,'317'!$D$61:$D$70,'317'!$D$72,'317'!$D$74,'317'!$D$76,'317'!$D$78,'317'!$D$80:$D$81,'317'!$D$83,'317'!$D$85,'317'!$D$87,'317'!$D$89:$D$91,'317'!$D$93,'317'!$D$95</definedName>
    <definedName name="OSRRefD22x_0" localSheetId="66">'321'!$D$26:$D$34,'321'!$D$36:$D$45,'321'!$D$47,'321'!$D$49,'321'!$D$51,'321'!$D$53,'321'!$D$55,'321'!$D$57:$D$58,'321'!$D$60:$D$61,'321'!$D$63:$D$64,'321'!$D$66:$D$68,'321'!$D$70:$D$71,'321'!$D$73,'321'!$D$75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8">'326'!$D$47:$D$55,'326'!$D$57:$D$66,'326'!$D$68,'326'!$D$70,'326'!$D$72,'326'!$D$74,'326'!$D$76,'326'!$D$78,'326'!$D$80:$D$81,'326'!$D$83,'326'!$D$85,'326'!$D$87,'326'!$D$89,'326'!$D$91:$D$93,'326'!$D$95:$D$97,'326'!$D$99:$D$100,'326'!$D$102:$D$107,'326'!$D$109:$D$110,'326'!$D$112,'326'!$D$114:$D$115,'326'!$D$117</definedName>
    <definedName name="OSRRefD22x_0" localSheetId="69">'327'!$D$24</definedName>
    <definedName name="OSRRefD22x_0" localSheetId="51">'330'!$D$39:$D$46,'330'!$D$48:$D$57,'330'!$D$59,'330'!$D$61,'330'!$D$63,'330'!$D$65:$D$66,'330'!$D$68,'330'!$D$70,'330'!$D$72,'330'!$D$74:$D$75,'330'!$D$77:$D$78,'330'!$D$80:$D$83,'330'!$D$85:$D$86,'330'!$D$88</definedName>
    <definedName name="OSRRefD22x_0" localSheetId="56">'331'!$D$81:$D$89,'331'!$D$91:$D$100,'331'!$D$102,'331'!$D$104,'331'!$D$106,'331'!$D$108,'331'!$D$110,'331'!$D$112,'331'!$D$114:$D$115,'331'!$D$117:$D$118,'331'!$D$120,'331'!$D$122,'331'!$D$124,'331'!$D$126,'331'!$D$128:$D$130,'331'!$D$132:$D$134,'331'!$D$136:$D$138,'331'!$D$140:$D$141,'331'!$D$143:$D$150,'331'!$D$152:$D$153,'331'!$D$155,'331'!$D$157:$D$158,'331'!$D$160</definedName>
    <definedName name="OSRRefD22x_0" localSheetId="59">'332'!$D$32:$D$40,'332'!$D$42:$D$51,'332'!$D$53,'332'!$D$55,'332'!$D$57,'332'!$D$59,'332'!$D$61:$D$62,'332'!$D$64:$D$65,'332'!$D$67,'332'!$D$69:$D$73,'332'!$D$75,'332'!$D$77</definedName>
    <definedName name="OSRRefD22x_0" localSheetId="73">'405'!$D$24:$D$31,'405'!$D$33:$D$42,'405'!$D$44,'405'!$D$46,'405'!$D$48:$D$49,'405'!$D$51,'405'!$D$53,'405'!$D$55,'405'!$D$57,'405'!$D$59:$D$60,'405'!$D$62,'405'!$D$64:$D$67,'405'!$D$69,'405'!$D$71:$D$79,'405'!$D$81,'405'!$D$83,'405'!$D$85,'405'!$D$87</definedName>
    <definedName name="OSRRefD22x_0" localSheetId="74">'406'!$D$20,'406'!$D$22,'406'!$D$24,'406'!$D$26,'406'!$D$28</definedName>
    <definedName name="OSRRefD22x_0" localSheetId="76">'411'!$D$20:$D$28,'411'!$D$30:$D$39,'411'!$D$41,'411'!$D$43,'411'!$D$45:$D$46,'411'!$D$48,'411'!$D$50,'411'!$D$52,'411'!$D$54,'411'!$D$56:$D$58,'411'!$D$60:$D$63,'411'!$D$65,'411'!$D$67:$D$73,'411'!$D$75,'411'!$D$77,'411'!$D$79</definedName>
    <definedName name="OSRRefD22x_0" localSheetId="77">'412'!$D$22:$D$29,'412'!$D$31:$D$40,'412'!$D$42,'412'!$D$44,'412'!$D$46:$D$47,'412'!$D$49,'412'!$D$51,'412'!$D$53,'412'!$D$55:$D$56,'412'!$D$58,'412'!$D$60:$D$63,'412'!$D$65:$D$69,'412'!$D$71:$D$72,'412'!$D$74</definedName>
    <definedName name="OSRRefD22x_0" localSheetId="78">'413'!$D$23:$D$31,'413'!$D$33:$D$42,'413'!$D$44,'413'!$D$46,'413'!$D$48,'413'!$D$50,'413'!$D$52,'413'!$D$54,'413'!$D$56:$D$59,'413'!$D$61:$D$62,'413'!$D$64:$D$71,'413'!$D$73:$D$74,'413'!$D$76</definedName>
    <definedName name="OSRRefD22x_0" localSheetId="79">'414'!$D$25:$D$33,'414'!$D$35:$D$44,'414'!$D$46,'414'!$D$48,'414'!$D$50,'414'!$D$52,'414'!$D$54,'414'!$D$56,'414'!$D$58:$D$59,'414'!$D$61,'414'!$D$63,'414'!$D$65,'414'!$D$67:$D$69,'414'!$D$71,'414'!$D$73,'414'!$D$75</definedName>
    <definedName name="OSRRefD22x_0" localSheetId="80">'415'!$D$27:$D$35,'415'!$D$37:$D$46,'415'!$D$48,'415'!$D$50,'415'!$D$52,'415'!$D$54:$D$55,'415'!$D$57,'415'!$D$59,'415'!$D$61,'415'!$D$63,'415'!$D$65,'415'!$D$67:$D$68,'415'!$D$70:$D$74,'415'!$D$76,'415'!$D$78:$D$85,'415'!$D$87:$D$88,'415'!$D$90,'415'!$D$92:$D$93,'415'!$D$95</definedName>
    <definedName name="OSRRefD22x_0" localSheetId="81">'418'!$D$23:$D$30,'418'!$D$32:$D$41,'418'!$D$43,'418'!$D$45,'418'!$D$47:$D$48,'418'!$D$50,'418'!$D$52,'418'!$D$54,'418'!$D$56:$D$58,'418'!$D$60:$D$61,'418'!$D$63:$D$64,'418'!$D$66:$D$75,'418'!$D$77:$D$78,'418'!$D$80</definedName>
    <definedName name="OSRRefD22x_0" localSheetId="82">'420'!$D$21</definedName>
    <definedName name="OSRRefD22x_0" localSheetId="83">'423'!$D$20:$D$27,'423'!$D$29:$D$38,'423'!$D$40,'423'!$D$42:$D$43,'423'!$D$45,'423'!$D$47,'423'!$D$49</definedName>
    <definedName name="OSRRefD22x_0" localSheetId="84">'424'!$D$20,'424'!$D$22,'424'!$D$24,'424'!$D$26</definedName>
    <definedName name="OSRRefD22x_0" localSheetId="85">'425'!$D$20:$D$24,'425'!$D$26,'425'!$D$28,'425'!$D$30,'425'!$D$32:$D$33,'425'!$D$35</definedName>
    <definedName name="OSRRefD22x_0" localSheetId="88">'430'!$D$20:$D$28,'430'!$D$30:$D$39,'430'!$D$41,'430'!$D$43,'430'!$D$45:$D$47,'430'!$D$49:$D$50,'430'!$D$52,'430'!$D$54</definedName>
    <definedName name="OSRRefD22x_0" localSheetId="89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90">'435'!$D$20</definedName>
    <definedName name="OSRRefD22x_0" localSheetId="91">'444'!$D$27:$D$36,'444'!$D$38:$D$47,'444'!$D$49,'444'!$D$51,'444'!$D$53,'444'!$D$55,'444'!$D$57,'444'!$D$59,'444'!$D$61,'444'!$D$63,'444'!$D$65,'444'!$D$67:$D$70,'444'!$D$72:$D$75,'444'!$D$77,'444'!$D$79:$D$87,'444'!$D$89:$D$90,'444'!$D$92</definedName>
    <definedName name="OSRRefD22x_0" localSheetId="93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$29:$D$37,'491'!$D$39:$D$48,'491'!$D$50,'491'!$D$52,'491'!$D$54,'491'!$D$56:$D$58,'491'!$D$60,'491'!$D$62,'491'!$D$64,'491'!$D$66,'491'!$D$68,'491'!$D$70,'491'!$D$72,'491'!$D$74:$D$77,'491'!$D$79:$D$80,'491'!$D$82:$D$86,'491'!$D$88:$D$89,'491'!$D$91:$D$101,'491'!$D$103:$D$104,'491'!$D$106,'491'!$D$108:$D$110,'491'!$D$112</definedName>
    <definedName name="OSRRefD22x_0" localSheetId="87">'492'!$D$27:$D$36,'492'!$D$38:$D$47,'492'!$D$49,'492'!$D$51,'492'!$D$53,'492'!$D$55,'492'!$D$57,'492'!$D$59,'492'!$D$61,'492'!$D$63,'492'!$D$65,'492'!$D$67,'492'!$D$69:$D$72,'492'!$D$74:$D$77,'492'!$D$79,'492'!$D$81:$D$90,'492'!$D$92:$D$93,'492'!$D$95,'492'!$D$97</definedName>
    <definedName name="OSRRefD22x_0" localSheetId="95">'501'!$D$21:$D$30,'501'!$D$32:$D$41,'501'!$D$43,'501'!$D$45,'501'!$D$47,'501'!$D$49:$D$50,'501'!$D$52,'501'!$D$54,'501'!$D$56,'501'!$D$58:$D$61,'501'!$D$63:$D$64,'501'!$D$66</definedName>
    <definedName name="OSRRefD22x_0" localSheetId="39">'Div 2'!$D$21:$D$31,'Div 2'!$D$33:$D$42,'Div 2'!$D$44,'Div 2'!$D$46,'Div 2'!$D$48,'Div 2'!$D$50:$D$51,'Div 2'!$D$53:$D$54,'Div 2'!$D$56,'Div 2'!$D$58,'Div 2'!$D$60:$D$61,'Div 2'!$D$63,'Div 2'!$D$65:$D$66,'Div 2'!$D$68:$D$71,'Div 2'!$D$73:$D$76,'Div 2'!$D$78:$D$79,'Div 2'!$D$81:$D$82,'Div 2'!$D$84:$D$88,'Div 2'!$D$90:$D$91,'Div 2'!$D$93,'Div 2'!$D$95:$D$96</definedName>
    <definedName name="OSRRefD22x_0" localSheetId="47">'Div 3'!$D$123:$D$132,'Div 3'!$D$134:$D$143,'Div 3'!$D$145,'Div 3'!$D$147:$D$148,'Div 3'!$D$150,'Div 3'!$D$152:$D$153,'Div 3'!$D$155:$D$156,'Div 3'!$D$158:$D$159,'Div 3'!$D$161,'Div 3'!$D$163,'Div 3'!$D$165:$D$166,'Div 3'!$D$168:$D$170,'Div 3'!$D$172,'Div 3'!$D$174,'Div 3'!$D$176,'Div 3'!$D$178,'Div 3'!$D$180,'Div 3'!$D$182:$D$185,'Div 3'!$D$187:$D$190,'Div 3'!$D$192:$D$196,'Div 3'!$D$198:$D$199,'Div 3'!$D$201:$D$209,'Div 3'!$D$211:$D$212,'Div 3'!$D$214,'Div 3'!$D$216:$D$218,'Div 3'!$D$220</definedName>
    <definedName name="OSRRefD22x_0" localSheetId="70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4'!$D$95:$D$96,'Div 4'!$D$98:$D$108,'Div 4'!$D$110:$D$111,'Div 4'!$D$113,'Div 4'!$D$115:$D$117,'Div 4'!$D$119</definedName>
    <definedName name="OSRRefD22x_0" localSheetId="94">'Div 5'!$D$21:$D$30,'Div 5'!$D$32:$D$41,'Div 5'!$D$43,'Div 5'!$D$45,'Div 5'!$D$47,'Div 5'!$D$49:$D$50,'Div 5'!$D$52,'Div 5'!$D$54,'Div 5'!$D$56,'Div 5'!$D$58:$D$61,'Div 5'!$D$63:$D$64,'Div 5'!$D$66</definedName>
    <definedName name="OSRRefD22x_0" localSheetId="61">'Div 6'!$D$50:$D$59,'Div 6'!$D$61:$D$70,'Div 6'!$D$72,'Div 6'!$D$74,'Div 6'!$D$76,'Div 6'!$D$78,'Div 6'!$D$80:$D$81,'Div 6'!$D$83,'Div 6'!$D$85,'Div 6'!$D$87,'Div 6'!$D$89:$D$91,'Div 6'!$D$93,'Div 6'!$D$95</definedName>
    <definedName name="OSRRefD22x_0" localSheetId="2">Summary!$D$150:$D$159,Summary!$D$161:$D$170,Summary!$D$172,Summary!$D$174:$D$175,Summary!$D$177,Summary!$D$179:$D$181,Summary!$D$183:$D$184,Summary!$D$186:$D$187,Summary!$D$189,Summary!$D$191,Summary!$D$193:$D$194,Summary!$D$196:$D$198,Summary!$D$200,Summary!$D$202,Summary!$D$204,Summary!$D$206,Summary!$D$208,Summary!$D$210,Summary!$D$212:$D$215,Summary!$D$217:$D$220,Summary!$D$222:$D$226,Summary!$D$228:$D$229,Summary!$D$231:$D$241,Summary!$D$243:$D$244,Summary!$D$246,Summary!$D$248:$D$250,Summary!$D$252</definedName>
    <definedName name="OSRRefD25x_0" localSheetId="42">'202'!$D$70:$D$72</definedName>
    <definedName name="OSRRefD25x_0" localSheetId="48">'300'!$D$216:$D$219</definedName>
    <definedName name="OSRRefD25x_0" localSheetId="49">'300 &amp; 317'!$D$238:$D$242</definedName>
    <definedName name="OSRRefD25x_0" localSheetId="50">'301'!$D$97:$D$98</definedName>
    <definedName name="OSRRefD25x_0" localSheetId="53">'308'!$D$114:$D$116</definedName>
    <definedName name="OSRRefD25x_0" localSheetId="71">'310 &amp; 491'!$D$119:$D$122</definedName>
    <definedName name="OSRRefD25x_0" localSheetId="54">'311'!$D$113:$D$115</definedName>
    <definedName name="OSRRefD25x_0" localSheetId="57">'315'!$D$145:$D$147</definedName>
    <definedName name="OSRRefD25x_0" localSheetId="60">'316'!$D$80</definedName>
    <definedName name="OSRRefD25x_0" localSheetId="62">'317'!$D$98:$D$99</definedName>
    <definedName name="OSRRefD25x_0" localSheetId="56">'331'!$D$163:$D$165</definedName>
    <definedName name="OSRRefD25x_0" localSheetId="59">'332'!$D$80</definedName>
    <definedName name="OSRRefD25x_0" localSheetId="76">'411'!$D$82:$D$83</definedName>
    <definedName name="OSRRefD25x_0" localSheetId="81">'418'!$D$83</definedName>
    <definedName name="OSRRefD25x_0" localSheetId="83">'423'!$D$52:$D$54</definedName>
    <definedName name="OSRRefD25x_0" localSheetId="86">'455'!$D$21:$D$22</definedName>
    <definedName name="OSRRefD25x_0" localSheetId="72">'491'!$D$115:$D$118</definedName>
    <definedName name="OSRRefD25x_0" localSheetId="95">'501'!$D$69</definedName>
    <definedName name="OSRRefD25x_0" localSheetId="39">'Div 2'!$D$99:$D$101</definedName>
    <definedName name="OSRRefD25x_0" localSheetId="47">'Div 3'!$D$223:$D$226</definedName>
    <definedName name="OSRRefD25x_0" localSheetId="70">'Div 4'!$D$122:$D$125</definedName>
    <definedName name="OSRRefD25x_0" localSheetId="94">'Div 5'!$D$69</definedName>
    <definedName name="OSRRefD25x_0" localSheetId="61">'Div 6'!$D$98:$D$99</definedName>
    <definedName name="OSRRefD25x_0" localSheetId="2">Summary!$D$255:$D$261</definedName>
    <definedName name="OSRRefH13x_0" localSheetId="41">'201'!$H$13</definedName>
    <definedName name="OSRRefH13x_0" localSheetId="42">'202'!$H$13</definedName>
    <definedName name="OSRRefH13x_0" localSheetId="48">'300'!$H$13:$H$76</definedName>
    <definedName name="OSRRefH13x_0" localSheetId="49">'300 &amp; 317'!$H$13:$H$90</definedName>
    <definedName name="OSRRefH13x_0" localSheetId="52">'307'!$H$13:$H$23</definedName>
    <definedName name="OSRRefH13x_0" localSheetId="53">'308'!$H$13:$H$34</definedName>
    <definedName name="OSRRefH13x_0" localSheetId="64">'309'!$H$13</definedName>
    <definedName name="OSRRefH13x_0" localSheetId="63">'310'!$H$13:$H$17</definedName>
    <definedName name="OSRRefH13x_0" localSheetId="71">'310 &amp; 491'!$H$13:$H$21</definedName>
    <definedName name="OSRRefH13x_0" localSheetId="54">'311'!$H$13:$H$33</definedName>
    <definedName name="OSRRefH13x_0" localSheetId="65">'313'!$H$13</definedName>
    <definedName name="OSRRefH13x_0" localSheetId="57">'315'!$H$13:$H$50</definedName>
    <definedName name="OSRRefH13x_0" localSheetId="60">'316'!$H$13:$H$24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'326'!$H$13:$H$33</definedName>
    <definedName name="OSRRefH13x_0" localSheetId="69">'327'!$H$13:$H$14</definedName>
    <definedName name="OSRRefH13x_0" localSheetId="51">'330'!$H$13:$H$23</definedName>
    <definedName name="OSRRefH13x_0" localSheetId="56">'331'!$H$13:$H$50</definedName>
    <definedName name="OSRRefH13x_0" localSheetId="59">'332'!$H$13:$H$24</definedName>
    <definedName name="OSRRefH13x_0" localSheetId="73">'405'!$H$13:$H$14</definedName>
    <definedName name="OSRRefH13x_0" localSheetId="77">'412'!$H$13</definedName>
    <definedName name="OSRRefH13x_0" localSheetId="78">'413'!$H$13:$H$14</definedName>
    <definedName name="OSRRefH13x_0" localSheetId="79">'414'!$H$13:$H$15</definedName>
    <definedName name="OSRRefH13x_0" localSheetId="80">'415'!$H$13:$H$16</definedName>
    <definedName name="OSRRefH13x_0" localSheetId="81">'418'!$H$13:$H$14</definedName>
    <definedName name="OSRRefH13x_0" localSheetId="82">'420'!$H$13</definedName>
    <definedName name="OSRRefH13x_0" localSheetId="89">'433'!$H$13:$H$16</definedName>
    <definedName name="OSRRefH13x_0" localSheetId="91">'444'!$H$13:$H$16</definedName>
    <definedName name="OSRRefH13x_0" localSheetId="93">'450'!$H$13:$H$14</definedName>
    <definedName name="OSRRefH13x_0" localSheetId="72">'491'!$H$13:$H$18</definedName>
    <definedName name="OSRRefH13x_0" localSheetId="87">'492'!$H$13:$H$16</definedName>
    <definedName name="OSRRefH13x_0" localSheetId="95">'501'!$H$13</definedName>
    <definedName name="OSRRefH13x_0" localSheetId="39">'Div 2'!$H$13</definedName>
    <definedName name="OSRRefH13x_0" localSheetId="47">'Div 3'!$H$13:$H$78</definedName>
    <definedName name="OSRRefH13x_0" localSheetId="70">'Div 4'!$H$13:$H$20</definedName>
    <definedName name="OSRRefH13x_0" localSheetId="94">'Div 5'!$H$13</definedName>
    <definedName name="OSRRefH13x_0" localSheetId="61">'Div 6'!$H$13:$H$30</definedName>
    <definedName name="OSRRefH13x_0" localSheetId="2">Summary!$H$13:$H$97</definedName>
    <definedName name="OSRRefH16x_0" localSheetId="48">'300'!$H$79:$H$113</definedName>
    <definedName name="OSRRefH16x_0" localSheetId="49">'300 &amp; 317'!$H$93:$H$135</definedName>
    <definedName name="OSRRefH16x_0" localSheetId="52">'307'!$H$26:$H$33</definedName>
    <definedName name="OSRRefH16x_0" localSheetId="53">'308'!$H$37:$H$51</definedName>
    <definedName name="OSRRefH16x_0" localSheetId="64">'309'!$H$16</definedName>
    <definedName name="OSRRefH16x_0" localSheetId="63">'310'!$H$20:$H$22</definedName>
    <definedName name="OSRRefH16x_0" localSheetId="71">'310 &amp; 491'!$H$24:$H$26</definedName>
    <definedName name="OSRRefH16x_0" localSheetId="54">'311'!$H$36:$H$50</definedName>
    <definedName name="OSRRefH16x_0" localSheetId="65">'313'!$H$16:$H$17</definedName>
    <definedName name="OSRRefH16x_0" localSheetId="57">'315'!$H$53:$H$74</definedName>
    <definedName name="OSRRefH16x_0" localSheetId="62">'317'!$H$33:$H$44</definedName>
    <definedName name="OSRRefH16x_0" localSheetId="66">'321'!$H$18:$H$20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'326'!$H$36:$H$41</definedName>
    <definedName name="OSRRefH16x_0" localSheetId="69">'327'!$H$17:$H$18</definedName>
    <definedName name="OSRRefH16x_0" localSheetId="51">'330'!$H$26:$H$33</definedName>
    <definedName name="OSRRefH16x_0" localSheetId="56">'331'!$H$53:$H$75</definedName>
    <definedName name="OSRRefH16x_0" localSheetId="73">'405'!$H$17:$H$18</definedName>
    <definedName name="OSRRefH16x_0" localSheetId="77">'412'!$H$16</definedName>
    <definedName name="OSRRefH16x_0" localSheetId="78">'413'!$H$17</definedName>
    <definedName name="OSRRefH16x_0" localSheetId="79">'414'!$H$18:$H$19</definedName>
    <definedName name="OSRRefH16x_0" localSheetId="80">'415'!$H$19:$H$21</definedName>
    <definedName name="OSRRefH16x_0" localSheetId="81">'418'!$H$17</definedName>
    <definedName name="OSRRefH16x_0" localSheetId="89">'433'!$H$19:$H$21</definedName>
    <definedName name="OSRRefH16x_0" localSheetId="91">'444'!$H$19:$H$21</definedName>
    <definedName name="OSRRefH16x_0" localSheetId="93">'450'!$H$17</definedName>
    <definedName name="OSRRefH16x_0" localSheetId="72">'491'!$H$21:$H$23</definedName>
    <definedName name="OSRRefH16x_0" localSheetId="87">'492'!$H$19:$H$21</definedName>
    <definedName name="OSRRefH16x_0" localSheetId="47">'Div 3'!$H$81:$H$117</definedName>
    <definedName name="OSRRefH16x_0" localSheetId="70">'Div 4'!$H$23:$H$25</definedName>
    <definedName name="OSRRefH16x_0" localSheetId="61">'Div 6'!$H$33:$H$44</definedName>
    <definedName name="OSRRefH16x_0" localSheetId="2">Summary!$H$100:$H$144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'300'!$H$119:$H$128</definedName>
    <definedName name="OSRRefH22_0x_0" localSheetId="49">'300 &amp; 317'!$H$141:$H$150</definedName>
    <definedName name="OSRRefH22_0x_0" localSheetId="50">'301'!$H$20:$H$29</definedName>
    <definedName name="OSRRefH22_0x_0" localSheetId="52">'307'!$H$39:$H$46</definedName>
    <definedName name="OSRRefH22_0x_0" localSheetId="53">'308'!$H$57:$H$66</definedName>
    <definedName name="OSRRefH22_0x_0" localSheetId="64">'309'!$H$22:$H$29</definedName>
    <definedName name="OSRRefH22_0x_0" localSheetId="63">'310'!$H$28:$H$36</definedName>
    <definedName name="OSRRefH22_0x_0" localSheetId="71">'310 &amp; 491'!$H$32:$H$40</definedName>
    <definedName name="OSRRefH22_0x_0" localSheetId="54">'311'!$H$56:$H$65</definedName>
    <definedName name="OSRRefH22_0x_0" localSheetId="65">'313'!$H$23:$H$31</definedName>
    <definedName name="OSRRefH22_0x_0" localSheetId="57">'315'!$H$80:$H$88</definedName>
    <definedName name="OSRRefH22_0x_0" localSheetId="60">'316'!$H$32:$H$40</definedName>
    <definedName name="OSRRefH22_0x_0" localSheetId="62">'317'!$H$50:$H$59</definedName>
    <definedName name="OSRRefH22_0x_0" localSheetId="66">'321'!$H$26:$H$34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'326'!$H$47:$H$55</definedName>
    <definedName name="OSRRefH22_0x_0" localSheetId="69">'327'!$H$24</definedName>
    <definedName name="OSRRefH22_0x_0" localSheetId="51">'330'!$H$39:$H$46</definedName>
    <definedName name="OSRRefH22_0x_0" localSheetId="56">'331'!$H$81:$H$89</definedName>
    <definedName name="OSRRefH22_0x_0" localSheetId="59">'332'!$H$32:$H$40</definedName>
    <definedName name="OSRRefH22_0x_0" localSheetId="73">'405'!$H$24:$H$31</definedName>
    <definedName name="OSRRefH22_0x_0" localSheetId="74">'406'!$H$20</definedName>
    <definedName name="OSRRefH22_0x_0" localSheetId="76">'411'!$H$20:$H$28</definedName>
    <definedName name="OSRRefH22_0x_0" localSheetId="77">'412'!$H$22:$H$29</definedName>
    <definedName name="OSRRefH22_0x_0" localSheetId="78">'413'!$H$23:$H$31</definedName>
    <definedName name="OSRRefH22_0x_0" localSheetId="79">'414'!$H$25:$H$33</definedName>
    <definedName name="OSRRefH22_0x_0" localSheetId="80">'415'!$H$27:$H$35</definedName>
    <definedName name="OSRRefH22_0x_0" localSheetId="81">'418'!$H$23:$H$30</definedName>
    <definedName name="OSRRefH22_0x_0" localSheetId="82">'420'!$H$21</definedName>
    <definedName name="OSRRefH22_0x_0" localSheetId="83">'423'!$H$20:$H$27</definedName>
    <definedName name="OSRRefH22_0x_0" localSheetId="84">'424'!$H$20</definedName>
    <definedName name="OSRRefH22_0x_0" localSheetId="85">'425'!$H$20:$H$24</definedName>
    <definedName name="OSRRefH22_0x_0" localSheetId="88">'430'!$H$20:$H$28</definedName>
    <definedName name="OSRRefH22_0x_0" localSheetId="89">'433'!$H$27:$H$36</definedName>
    <definedName name="OSRRefH22_0x_0" localSheetId="90">'435'!$H$20</definedName>
    <definedName name="OSRRefH22_0x_0" localSheetId="91">'444'!$H$27:$H$36</definedName>
    <definedName name="OSRRefH22_0x_0" localSheetId="93">'450'!$H$23:$H$32</definedName>
    <definedName name="OSRRefH22_0x_0" localSheetId="72">'491'!$H$29:$H$37</definedName>
    <definedName name="OSRRefH22_0x_0" localSheetId="87">'492'!$H$27:$H$36</definedName>
    <definedName name="OSRRefH22_0x_0" localSheetId="95">'501'!$H$21:$H$30</definedName>
    <definedName name="OSRRefH22_0x_0" localSheetId="39">'Div 2'!$H$21:$H$31</definedName>
    <definedName name="OSRRefH22_0x_0" localSheetId="47">'Div 3'!$H$123:$H$132</definedName>
    <definedName name="OSRRefH22_0x_0" localSheetId="70">'Div 4'!$H$31:$H$40</definedName>
    <definedName name="OSRRefH22_0x_0" localSheetId="94">'Div 5'!$H$21:$H$30</definedName>
    <definedName name="OSRRefH22_0x_0" localSheetId="61">'Div 6'!$H$50:$H$59</definedName>
    <definedName name="OSRRefH22_0x_0" localSheetId="2">Summary!$H$150:$H$159</definedName>
    <definedName name="OSRRefH22_10x_0" localSheetId="41">'201'!$H$59:$H$61</definedName>
    <definedName name="OSRRefH22_10x_0" localSheetId="42">'202'!$H$63</definedName>
    <definedName name="OSRRefH22_10x_0" localSheetId="43">'203'!$H$62</definedName>
    <definedName name="OSRRefH22_10x_0" localSheetId="44">'204'!$H$62:$H$63</definedName>
    <definedName name="OSRRefH22_10x_0" localSheetId="48">'300'!$H$161:$H$162</definedName>
    <definedName name="OSRRefH22_10x_0" localSheetId="49">'300 &amp; 317'!$H$183:$H$184</definedName>
    <definedName name="OSRRefH22_10x_0" localSheetId="50">'301'!$H$60</definedName>
    <definedName name="OSRRefH22_10x_0" localSheetId="52">'307'!$H$77:$H$78</definedName>
    <definedName name="OSRRefH22_10x_0" localSheetId="53">'308'!$H$99:$H$100</definedName>
    <definedName name="OSRRefH22_10x_0" localSheetId="64">'309'!$H$62</definedName>
    <definedName name="OSRRefH22_10x_0" localSheetId="63">'310'!$H$66</definedName>
    <definedName name="OSRRefH22_10x_0" localSheetId="71">'310 &amp; 491'!$H$72</definedName>
    <definedName name="OSRRefH22_10x_0" localSheetId="54">'311'!$H$98:$H$99</definedName>
    <definedName name="OSRRefH22_10x_0" localSheetId="65">'313'!$H$64</definedName>
    <definedName name="OSRRefH22_10x_0" localSheetId="57">'315'!$H$118</definedName>
    <definedName name="OSRRefH22_10x_0" localSheetId="60">'316'!$H$75</definedName>
    <definedName name="OSRRefH22_10x_0" localSheetId="62">'317'!$H$89:$H$91</definedName>
    <definedName name="OSRRefH22_10x_0" localSheetId="66">'321'!$H$66:$H$68</definedName>
    <definedName name="OSRRefH22_10x_0" localSheetId="67">'322'!$H$64</definedName>
    <definedName name="OSRRefH22_10x_0" localSheetId="68">'325'!$H$62</definedName>
    <definedName name="OSRRefH22_10x_0" localSheetId="58">'326'!$H$85</definedName>
    <definedName name="OSRRefH22_10x_0" localSheetId="51">'330'!$H$77:$H$78</definedName>
    <definedName name="OSRRefH22_10x_0" localSheetId="56">'331'!$H$120</definedName>
    <definedName name="OSRRefH22_10x_0" localSheetId="59">'332'!$H$75</definedName>
    <definedName name="OSRRefH22_10x_0" localSheetId="73">'405'!$H$62</definedName>
    <definedName name="OSRRefH22_10x_0" localSheetId="76">'411'!$H$60:$H$63</definedName>
    <definedName name="OSRRefH22_10x_0" localSheetId="77">'412'!$H$60:$H$63</definedName>
    <definedName name="OSRRefH22_10x_0" localSheetId="78">'413'!$H$64:$H$71</definedName>
    <definedName name="OSRRefH22_10x_0" localSheetId="79">'414'!$H$63</definedName>
    <definedName name="OSRRefH22_10x_0" localSheetId="80">'415'!$H$65</definedName>
    <definedName name="OSRRefH22_10x_0" localSheetId="81">'418'!$H$63:$H$64</definedName>
    <definedName name="OSRRefH22_10x_0" localSheetId="89">'433'!$H$65</definedName>
    <definedName name="OSRRefH22_10x_0" localSheetId="91">'444'!$H$65</definedName>
    <definedName name="OSRRefH22_10x_0" localSheetId="93">'450'!$H$61</definedName>
    <definedName name="OSRRefH22_10x_0" localSheetId="72">'491'!$H$68</definedName>
    <definedName name="OSRRefH22_10x_0" localSheetId="87">'492'!$H$65</definedName>
    <definedName name="OSRRefH22_10x_0" localSheetId="95">'501'!$H$63:$H$64</definedName>
    <definedName name="OSRRefH22_10x_0" localSheetId="39">'Div 2'!$H$63</definedName>
    <definedName name="OSRRefH22_10x_0" localSheetId="47">'Div 3'!$H$165:$H$166</definedName>
    <definedName name="OSRRefH22_10x_0" localSheetId="70">'Div 4'!$H$71</definedName>
    <definedName name="OSRRefH22_10x_0" localSheetId="94">'Div 5'!$H$63:$H$64</definedName>
    <definedName name="OSRRefH22_10x_0" localSheetId="61">'Div 6'!$H$89:$H$91</definedName>
    <definedName name="OSRRefH22_10x_0" localSheetId="2">Summary!$H$193:$H$194</definedName>
    <definedName name="OSRRefH22_11x_0" localSheetId="41">'201'!$H$63</definedName>
    <definedName name="OSRRefH22_11x_0" localSheetId="42">'202'!$H$65</definedName>
    <definedName name="OSRRefH22_11x_0" localSheetId="43">'203'!$H$64:$H$66</definedName>
    <definedName name="OSRRefH22_11x_0" localSheetId="44">'204'!$H$65</definedName>
    <definedName name="OSRRefH22_11x_0" localSheetId="48">'300'!$H$164:$H$166</definedName>
    <definedName name="OSRRefH22_11x_0" localSheetId="49">'300 &amp; 317'!$H$186:$H$188</definedName>
    <definedName name="OSRRefH22_11x_0" localSheetId="50">'301'!$H$62</definedName>
    <definedName name="OSRRefH22_11x_0" localSheetId="52">'307'!$H$80:$H$83</definedName>
    <definedName name="OSRRefH22_11x_0" localSheetId="53">'308'!$H$102:$H$104</definedName>
    <definedName name="OSRRefH22_11x_0" localSheetId="63">'310'!$H$68</definedName>
    <definedName name="OSRRefH22_11x_0" localSheetId="71">'310 &amp; 491'!$H$74</definedName>
    <definedName name="OSRRefH22_11x_0" localSheetId="54">'311'!$H$101:$H$103</definedName>
    <definedName name="OSRRefH22_11x_0" localSheetId="65">'313'!$H$66</definedName>
    <definedName name="OSRRefH22_11x_0" localSheetId="57">'315'!$H$120</definedName>
    <definedName name="OSRRefH22_11x_0" localSheetId="60">'316'!$H$77</definedName>
    <definedName name="OSRRefH22_11x_0" localSheetId="62">'317'!$H$93</definedName>
    <definedName name="OSRRefH22_11x_0" localSheetId="66">'321'!$H$70:$H$71</definedName>
    <definedName name="OSRRefH22_11x_0" localSheetId="67">'322'!$H$66</definedName>
    <definedName name="OSRRefH22_11x_0" localSheetId="68">'325'!$H$64:$H$67</definedName>
    <definedName name="OSRRefH22_11x_0" localSheetId="58">'326'!$H$87</definedName>
    <definedName name="OSRRefH22_11x_0" localSheetId="51">'330'!$H$80:$H$83</definedName>
    <definedName name="OSRRefH22_11x_0" localSheetId="56">'331'!$H$122</definedName>
    <definedName name="OSRRefH22_11x_0" localSheetId="59">'332'!$H$77</definedName>
    <definedName name="OSRRefH22_11x_0" localSheetId="73">'405'!$H$64:$H$67</definedName>
    <definedName name="OSRRefH22_11x_0" localSheetId="76">'411'!$H$65</definedName>
    <definedName name="OSRRefH22_11x_0" localSheetId="77">'412'!$H$65:$H$69</definedName>
    <definedName name="OSRRefH22_11x_0" localSheetId="78">'413'!$H$73:$H$74</definedName>
    <definedName name="OSRRefH22_11x_0" localSheetId="79">'414'!$H$65</definedName>
    <definedName name="OSRRefH22_11x_0" localSheetId="80">'415'!$H$67:$H$68</definedName>
    <definedName name="OSRRefH22_11x_0" localSheetId="81">'418'!$H$66:$H$75</definedName>
    <definedName name="OSRRefH22_11x_0" localSheetId="89">'433'!$H$67:$H$69</definedName>
    <definedName name="OSRRefH22_11x_0" localSheetId="91">'444'!$H$67:$H$70</definedName>
    <definedName name="OSRRefH22_11x_0" localSheetId="93">'450'!$H$63</definedName>
    <definedName name="OSRRefH22_11x_0" localSheetId="72">'491'!$H$70</definedName>
    <definedName name="OSRRefH22_11x_0" localSheetId="87">'492'!$H$67</definedName>
    <definedName name="OSRRefH22_11x_0" localSheetId="95">'501'!$H$66</definedName>
    <definedName name="OSRRefH22_11x_0" localSheetId="39">'Div 2'!$H$65:$H$66</definedName>
    <definedName name="OSRRefH22_11x_0" localSheetId="47">'Div 3'!$H$168:$H$170</definedName>
    <definedName name="OSRRefH22_11x_0" localSheetId="70">'Div 4'!$H$73</definedName>
    <definedName name="OSRRefH22_11x_0" localSheetId="94">'Div 5'!$H$66</definedName>
    <definedName name="OSRRefH22_11x_0" localSheetId="61">'Div 6'!$H$93</definedName>
    <definedName name="OSRRefH22_11x_0" localSheetId="2">Summary!$H$196:$H$198</definedName>
    <definedName name="OSRRefH22_12x_0" localSheetId="41">'201'!$H$65</definedName>
    <definedName name="OSRRefH22_12x_0" localSheetId="42">'202'!$H$67</definedName>
    <definedName name="OSRRefH22_12x_0" localSheetId="43">'203'!$H$68</definedName>
    <definedName name="OSRRefH22_12x_0" localSheetId="44">'204'!$H$67</definedName>
    <definedName name="OSRRefH22_12x_0" localSheetId="48">'300'!$H$168</definedName>
    <definedName name="OSRRefH22_12x_0" localSheetId="49">'300 &amp; 317'!$H$190</definedName>
    <definedName name="OSRRefH22_12x_0" localSheetId="50">'301'!$H$64</definedName>
    <definedName name="OSRRefH22_12x_0" localSheetId="52">'307'!$H$85:$H$86</definedName>
    <definedName name="OSRRefH22_12x_0" localSheetId="53">'308'!$H$106:$H$107</definedName>
    <definedName name="OSRRefH22_12x_0" localSheetId="63">'310'!$H$70</definedName>
    <definedName name="OSRRefH22_12x_0" localSheetId="71">'310 &amp; 491'!$H$76</definedName>
    <definedName name="OSRRefH22_12x_0" localSheetId="54">'311'!$H$105:$H$106</definedName>
    <definedName name="OSRRefH22_12x_0" localSheetId="57">'315'!$H$122:$H$124</definedName>
    <definedName name="OSRRefH22_12x_0" localSheetId="62">'317'!$H$95</definedName>
    <definedName name="OSRRefH22_12x_0" localSheetId="66">'321'!$H$73</definedName>
    <definedName name="OSRRefH22_12x_0" localSheetId="68">'325'!$H$69:$H$71</definedName>
    <definedName name="OSRRefH22_12x_0" localSheetId="58">'326'!$H$89</definedName>
    <definedName name="OSRRefH22_12x_0" localSheetId="51">'330'!$H$85:$H$86</definedName>
    <definedName name="OSRRefH22_12x_0" localSheetId="56">'331'!$H$124</definedName>
    <definedName name="OSRRefH22_12x_0" localSheetId="73">'405'!$H$69</definedName>
    <definedName name="OSRRefH22_12x_0" localSheetId="76">'411'!$H$67:$H$73</definedName>
    <definedName name="OSRRefH22_12x_0" localSheetId="77">'412'!$H$71:$H$72</definedName>
    <definedName name="OSRRefH22_12x_0" localSheetId="78">'413'!$H$76</definedName>
    <definedName name="OSRRefH22_12x_0" localSheetId="79">'414'!$H$67:$H$69</definedName>
    <definedName name="OSRRefH22_12x_0" localSheetId="80">'415'!$H$70:$H$74</definedName>
    <definedName name="OSRRefH22_12x_0" localSheetId="81">'418'!$H$77:$H$78</definedName>
    <definedName name="OSRRefH22_12x_0" localSheetId="89">'433'!$H$71:$H$74</definedName>
    <definedName name="OSRRefH22_12x_0" localSheetId="91">'444'!$H$72:$H$75</definedName>
    <definedName name="OSRRefH22_12x_0" localSheetId="93">'450'!$H$65</definedName>
    <definedName name="OSRRefH22_12x_0" localSheetId="72">'491'!$H$72</definedName>
    <definedName name="OSRRefH22_12x_0" localSheetId="87">'492'!$H$69:$H$72</definedName>
    <definedName name="OSRRefH22_12x_0" localSheetId="39">'Div 2'!$H$68:$H$71</definedName>
    <definedName name="OSRRefH22_12x_0" localSheetId="47">'Div 3'!$H$172</definedName>
    <definedName name="OSRRefH22_12x_0" localSheetId="70">'Div 4'!$H$75</definedName>
    <definedName name="OSRRefH22_12x_0" localSheetId="61">'Div 6'!$H$95</definedName>
    <definedName name="OSRRefH22_12x_0" localSheetId="2">Summary!$H$200</definedName>
    <definedName name="OSRRefH22_13x_0" localSheetId="41">'201'!$H$67:$H$69</definedName>
    <definedName name="OSRRefH22_13x_0" localSheetId="43">'203'!$H$70</definedName>
    <definedName name="OSRRefH22_13x_0" localSheetId="48">'300'!$H$170</definedName>
    <definedName name="OSRRefH22_13x_0" localSheetId="49">'300 &amp; 317'!$H$192</definedName>
    <definedName name="OSRRefH22_13x_0" localSheetId="50">'301'!$H$66</definedName>
    <definedName name="OSRRefH22_13x_0" localSheetId="52">'307'!$H$88</definedName>
    <definedName name="OSRRefH22_13x_0" localSheetId="53">'308'!$H$109</definedName>
    <definedName name="OSRRefH22_13x_0" localSheetId="63">'310'!$H$72:$H$75</definedName>
    <definedName name="OSRRefH22_13x_0" localSheetId="71">'310 &amp; 491'!$H$78:$H$81</definedName>
    <definedName name="OSRRefH22_13x_0" localSheetId="54">'311'!$H$108</definedName>
    <definedName name="OSRRefH22_13x_0" localSheetId="57">'315'!$H$126:$H$127</definedName>
    <definedName name="OSRRefH22_13x_0" localSheetId="66">'321'!$H$75</definedName>
    <definedName name="OSRRefH22_13x_0" localSheetId="68">'325'!$H$73</definedName>
    <definedName name="OSRRefH22_13x_0" localSheetId="58">'326'!$H$91:$H$93</definedName>
    <definedName name="OSRRefH22_13x_0" localSheetId="51">'330'!$H$88</definedName>
    <definedName name="OSRRefH22_13x_0" localSheetId="56">'331'!$H$126</definedName>
    <definedName name="OSRRefH22_13x_0" localSheetId="73">'405'!$H$71:$H$79</definedName>
    <definedName name="OSRRefH22_13x_0" localSheetId="76">'411'!$H$75</definedName>
    <definedName name="OSRRefH22_13x_0" localSheetId="77">'412'!$H$74</definedName>
    <definedName name="OSRRefH22_13x_0" localSheetId="79">'414'!$H$71</definedName>
    <definedName name="OSRRefH22_13x_0" localSheetId="80">'415'!$H$76</definedName>
    <definedName name="OSRRefH22_13x_0" localSheetId="81">'418'!$H$80</definedName>
    <definedName name="OSRRefH22_13x_0" localSheetId="89">'433'!$H$76:$H$83</definedName>
    <definedName name="OSRRefH22_13x_0" localSheetId="91">'444'!$H$77</definedName>
    <definedName name="OSRRefH22_13x_0" localSheetId="93">'450'!$H$67:$H$69</definedName>
    <definedName name="OSRRefH22_13x_0" localSheetId="72">'491'!$H$74:$H$77</definedName>
    <definedName name="OSRRefH22_13x_0" localSheetId="87">'492'!$H$74:$H$77</definedName>
    <definedName name="OSRRefH22_13x_0" localSheetId="39">'Div 2'!$H$73:$H$76</definedName>
    <definedName name="OSRRefH22_13x_0" localSheetId="47">'Div 3'!$H$174</definedName>
    <definedName name="OSRRefH22_13x_0" localSheetId="70">'Div 4'!$H$77</definedName>
    <definedName name="OSRRefH22_13x_0" localSheetId="2">Summary!$H$202</definedName>
    <definedName name="OSRRefH22_14x_0" localSheetId="41">'201'!$H$71</definedName>
    <definedName name="OSRRefH22_14x_0" localSheetId="43">'203'!$H$72</definedName>
    <definedName name="OSRRefH22_14x_0" localSheetId="48">'300'!$H$172</definedName>
    <definedName name="OSRRefH22_14x_0" localSheetId="49">'300 &amp; 317'!$H$194</definedName>
    <definedName name="OSRRefH22_14x_0" localSheetId="50">'301'!$H$68:$H$71</definedName>
    <definedName name="OSRRefH22_14x_0" localSheetId="53">'308'!$H$111</definedName>
    <definedName name="OSRRefH22_14x_0" localSheetId="63">'310'!$H$77:$H$78</definedName>
    <definedName name="OSRRefH22_14x_0" localSheetId="71">'310 &amp; 491'!$H$83:$H$84</definedName>
    <definedName name="OSRRefH22_14x_0" localSheetId="54">'311'!$H$110</definedName>
    <definedName name="OSRRefH22_14x_0" localSheetId="57">'315'!$H$129:$H$135</definedName>
    <definedName name="OSRRefH22_14x_0" localSheetId="68">'325'!$H$75:$H$79</definedName>
    <definedName name="OSRRefH22_14x_0" localSheetId="58">'326'!$H$95:$H$97</definedName>
    <definedName name="OSRRefH22_14x_0" localSheetId="56">'331'!$H$128:$H$130</definedName>
    <definedName name="OSRRefH22_14x_0" localSheetId="73">'405'!$H$81</definedName>
    <definedName name="OSRRefH22_14x_0" localSheetId="76">'411'!$H$77</definedName>
    <definedName name="OSRRefH22_14x_0" localSheetId="79">'414'!$H$73</definedName>
    <definedName name="OSRRefH22_14x_0" localSheetId="80">'415'!$H$78:$H$85</definedName>
    <definedName name="OSRRefH22_14x_0" localSheetId="89">'433'!$H$85</definedName>
    <definedName name="OSRRefH22_14x_0" localSheetId="91">'444'!$H$79:$H$87</definedName>
    <definedName name="OSRRefH22_14x_0" localSheetId="93">'450'!$H$71:$H$77</definedName>
    <definedName name="OSRRefH22_14x_0" localSheetId="72">'491'!$H$79:$H$80</definedName>
    <definedName name="OSRRefH22_14x_0" localSheetId="87">'492'!$H$79</definedName>
    <definedName name="OSRRefH22_14x_0" localSheetId="39">'Div 2'!$H$78:$H$79</definedName>
    <definedName name="OSRRefH22_14x_0" localSheetId="47">'Div 3'!$H$176</definedName>
    <definedName name="OSRRefH22_14x_0" localSheetId="70">'Div 4'!$H$79</definedName>
    <definedName name="OSRRefH22_14x_0" localSheetId="2">Summary!$H$204</definedName>
    <definedName name="OSRRefH22_15x_0" localSheetId="41">'201'!$H$73</definedName>
    <definedName name="OSRRefH22_15x_0" localSheetId="48">'300'!$H$174</definedName>
    <definedName name="OSRRefH22_15x_0" localSheetId="49">'300 &amp; 317'!$H$196</definedName>
    <definedName name="OSRRefH22_15x_0" localSheetId="50">'301'!$H$73:$H$75</definedName>
    <definedName name="OSRRefH22_15x_0" localSheetId="63">'310'!$H$80:$H$83</definedName>
    <definedName name="OSRRefH22_15x_0" localSheetId="71">'310 &amp; 491'!$H$86:$H$90</definedName>
    <definedName name="OSRRefH22_15x_0" localSheetId="57">'315'!$H$137</definedName>
    <definedName name="OSRRefH22_15x_0" localSheetId="68">'325'!$H$81:$H$82</definedName>
    <definedName name="OSRRefH22_15x_0" localSheetId="58">'326'!$H$99:$H$100</definedName>
    <definedName name="OSRRefH22_15x_0" localSheetId="56">'331'!$H$132:$H$134</definedName>
    <definedName name="OSRRefH22_15x_0" localSheetId="73">'405'!$H$83</definedName>
    <definedName name="OSRRefH22_15x_0" localSheetId="76">'411'!$H$79</definedName>
    <definedName name="OSRRefH22_15x_0" localSheetId="79">'414'!$H$75</definedName>
    <definedName name="OSRRefH22_15x_0" localSheetId="80">'415'!$H$87:$H$88</definedName>
    <definedName name="OSRRefH22_15x_0" localSheetId="89">'433'!$H$87</definedName>
    <definedName name="OSRRefH22_15x_0" localSheetId="91">'444'!$H$89:$H$90</definedName>
    <definedName name="OSRRefH22_15x_0" localSheetId="93">'450'!$H$79:$H$80</definedName>
    <definedName name="OSRRefH22_15x_0" localSheetId="72">'491'!$H$82:$H$86</definedName>
    <definedName name="OSRRefH22_15x_0" localSheetId="87">'492'!$H$81:$H$90</definedName>
    <definedName name="OSRRefH22_15x_0" localSheetId="39">'Div 2'!$H$81:$H$82</definedName>
    <definedName name="OSRRefH22_15x_0" localSheetId="47">'Div 3'!$H$178</definedName>
    <definedName name="OSRRefH22_15x_0" localSheetId="70">'Div 4'!$H$81:$H$84</definedName>
    <definedName name="OSRRefH22_15x_0" localSheetId="2">Summary!$H$206</definedName>
    <definedName name="OSRRefH22_16x_0" localSheetId="41">'201'!$H$75</definedName>
    <definedName name="OSRRefH22_16x_0" localSheetId="48">'300'!$H$176:$H$179</definedName>
    <definedName name="OSRRefH22_16x_0" localSheetId="49">'300 &amp; 317'!$H$198:$H$201</definedName>
    <definedName name="OSRRefH22_16x_0" localSheetId="50">'301'!$H$77</definedName>
    <definedName name="OSRRefH22_16x_0" localSheetId="63">'310'!$H$85</definedName>
    <definedName name="OSRRefH22_16x_0" localSheetId="71">'310 &amp; 491'!$H$92:$H$93</definedName>
    <definedName name="OSRRefH22_16x_0" localSheetId="57">'315'!$H$139</definedName>
    <definedName name="OSRRefH22_16x_0" localSheetId="68">'325'!$H$84</definedName>
    <definedName name="OSRRefH22_16x_0" localSheetId="58">'326'!$H$102:$H$107</definedName>
    <definedName name="OSRRefH22_16x_0" localSheetId="56">'331'!$H$136:$H$138</definedName>
    <definedName name="OSRRefH22_16x_0" localSheetId="73">'405'!$H$85</definedName>
    <definedName name="OSRRefH22_16x_0" localSheetId="80">'415'!$H$90</definedName>
    <definedName name="OSRRefH22_16x_0" localSheetId="91">'444'!$H$92</definedName>
    <definedName name="OSRRefH22_16x_0" localSheetId="93">'450'!$H$82</definedName>
    <definedName name="OSRRefH22_16x_0" localSheetId="72">'491'!$H$88:$H$89</definedName>
    <definedName name="OSRRefH22_16x_0" localSheetId="87">'492'!$H$92:$H$93</definedName>
    <definedName name="OSRRefH22_16x_0" localSheetId="39">'Div 2'!$H$84:$H$88</definedName>
    <definedName name="OSRRefH22_16x_0" localSheetId="47">'Div 3'!$H$180</definedName>
    <definedName name="OSRRefH22_16x_0" localSheetId="70">'Div 4'!$H$86:$H$87</definedName>
    <definedName name="OSRRefH22_16x_0" localSheetId="2">Summary!$H$208</definedName>
    <definedName name="OSRRefH22_17x_0" localSheetId="48">'300'!$H$181:$H$184</definedName>
    <definedName name="OSRRefH22_17x_0" localSheetId="49">'300 &amp; 317'!$H$203:$H$206</definedName>
    <definedName name="OSRRefH22_17x_0" localSheetId="50">'301'!$H$79:$H$85</definedName>
    <definedName name="OSRRefH22_17x_0" localSheetId="63">'310'!$H$87:$H$93</definedName>
    <definedName name="OSRRefH22_17x_0" localSheetId="71">'310 &amp; 491'!$H$95:$H$105</definedName>
    <definedName name="OSRRefH22_17x_0" localSheetId="57">'315'!$H$141:$H$142</definedName>
    <definedName name="OSRRefH22_17x_0" localSheetId="68">'325'!$H$86</definedName>
    <definedName name="OSRRefH22_17x_0" localSheetId="58">'326'!$H$109:$H$110</definedName>
    <definedName name="OSRRefH22_17x_0" localSheetId="56">'331'!$H$140:$H$141</definedName>
    <definedName name="OSRRefH22_17x_0" localSheetId="73">'405'!$H$87</definedName>
    <definedName name="OSRRefH22_17x_0" localSheetId="80">'415'!$H$92:$H$93</definedName>
    <definedName name="OSRRefH22_17x_0" localSheetId="72">'491'!$H$91:$H$101</definedName>
    <definedName name="OSRRefH22_17x_0" localSheetId="87">'492'!$H$95</definedName>
    <definedName name="OSRRefH22_17x_0" localSheetId="39">'Div 2'!$H$90:$H$91</definedName>
    <definedName name="OSRRefH22_17x_0" localSheetId="47">'Div 3'!$H$182:$H$185</definedName>
    <definedName name="OSRRefH22_17x_0" localSheetId="70">'Div 4'!$H$89:$H$93</definedName>
    <definedName name="OSRRefH22_17x_0" localSheetId="2">Summary!$H$210</definedName>
    <definedName name="OSRRefH22_18x_0" localSheetId="48">'300'!$H$186:$H$189</definedName>
    <definedName name="OSRRefH22_18x_0" localSheetId="49">'300 &amp; 317'!$H$208:$H$211</definedName>
    <definedName name="OSRRefH22_18x_0" localSheetId="50">'301'!$H$87</definedName>
    <definedName name="OSRRefH22_18x_0" localSheetId="63">'310'!$H$95:$H$96</definedName>
    <definedName name="OSRRefH22_18x_0" localSheetId="71">'310 &amp; 491'!$H$107:$H$108</definedName>
    <definedName name="OSRRefH22_18x_0" localSheetId="58">'326'!$H$112</definedName>
    <definedName name="OSRRefH22_18x_0" localSheetId="56">'331'!$H$143:$H$150</definedName>
    <definedName name="OSRRefH22_18x_0" localSheetId="80">'415'!$H$95</definedName>
    <definedName name="OSRRefH22_18x_0" localSheetId="72">'491'!$H$103:$H$104</definedName>
    <definedName name="OSRRefH22_18x_0" localSheetId="87">'492'!$H$97</definedName>
    <definedName name="OSRRefH22_18x_0" localSheetId="39">'Div 2'!$H$93</definedName>
    <definedName name="OSRRefH22_18x_0" localSheetId="47">'Div 3'!$H$187:$H$190</definedName>
    <definedName name="OSRRefH22_18x_0" localSheetId="70">'Div 4'!$H$95:$H$96</definedName>
    <definedName name="OSRRefH22_18x_0" localSheetId="2">Summary!$H$212:$H$215</definedName>
    <definedName name="OSRRefH22_19x_0" localSheetId="48">'300'!$H$191:$H$192</definedName>
    <definedName name="OSRRefH22_19x_0" localSheetId="49">'300 &amp; 317'!$H$213:$H$214</definedName>
    <definedName name="OSRRefH22_19x_0" localSheetId="50">'301'!$H$89</definedName>
    <definedName name="OSRRefH22_19x_0" localSheetId="63">'310'!$H$98</definedName>
    <definedName name="OSRRefH22_19x_0" localSheetId="71">'310 &amp; 491'!$H$110</definedName>
    <definedName name="OSRRefH22_19x_0" localSheetId="58">'326'!$H$114:$H$115</definedName>
    <definedName name="OSRRefH22_19x_0" localSheetId="56">'331'!$H$152:$H$153</definedName>
    <definedName name="OSRRefH22_19x_0" localSheetId="72">'491'!$H$106</definedName>
    <definedName name="OSRRefH22_19x_0" localSheetId="39">'Div 2'!$H$95:$H$96</definedName>
    <definedName name="OSRRefH22_19x_0" localSheetId="47">'Div 3'!$H$192:$H$196</definedName>
    <definedName name="OSRRefH22_19x_0" localSheetId="70">'Div 4'!$H$98:$H$108</definedName>
    <definedName name="OSRRefH22_19x_0" localSheetId="2">Summary!$H$217:$H$220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'300'!$H$130:$H$139</definedName>
    <definedName name="OSRRefH22_1x_0" localSheetId="49">'300 &amp; 317'!$H$152:$H$161</definedName>
    <definedName name="OSRRefH22_1x_0" localSheetId="50">'301'!$H$31:$H$40</definedName>
    <definedName name="OSRRefH22_1x_0" localSheetId="52">'307'!$H$48:$H$57</definedName>
    <definedName name="OSRRefH22_1x_0" localSheetId="53">'308'!$H$68:$H$77</definedName>
    <definedName name="OSRRefH22_1x_0" localSheetId="64">'309'!$H$31:$H$40</definedName>
    <definedName name="OSRRefH22_1x_0" localSheetId="63">'310'!$H$38:$H$47</definedName>
    <definedName name="OSRRefH22_1x_0" localSheetId="71">'310 &amp; 491'!$H$42:$H$51</definedName>
    <definedName name="OSRRefH22_1x_0" localSheetId="54">'311'!$H$67:$H$76</definedName>
    <definedName name="OSRRefH22_1x_0" localSheetId="65">'313'!$H$33:$H$42</definedName>
    <definedName name="OSRRefH22_1x_0" localSheetId="57">'315'!$H$90:$H$99</definedName>
    <definedName name="OSRRefH22_1x_0" localSheetId="60">'316'!$H$42:$H$51</definedName>
    <definedName name="OSRRefH22_1x_0" localSheetId="62">'317'!$H$61:$H$70</definedName>
    <definedName name="OSRRefH22_1x_0" localSheetId="66">'321'!$H$36:$H$45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'326'!$H$57:$H$66</definedName>
    <definedName name="OSRRefH22_1x_0" localSheetId="51">'330'!$H$48:$H$57</definedName>
    <definedName name="OSRRefH22_1x_0" localSheetId="56">'331'!$H$91:$H$100</definedName>
    <definedName name="OSRRefH22_1x_0" localSheetId="59">'332'!$H$42:$H$51</definedName>
    <definedName name="OSRRefH22_1x_0" localSheetId="73">'405'!$H$33:$H$42</definedName>
    <definedName name="OSRRefH22_1x_0" localSheetId="74">'406'!$H$22</definedName>
    <definedName name="OSRRefH22_1x_0" localSheetId="76">'411'!$H$30:$H$39</definedName>
    <definedName name="OSRRefH22_1x_0" localSheetId="77">'412'!$H$31:$H$40</definedName>
    <definedName name="OSRRefH22_1x_0" localSheetId="78">'413'!$H$33:$H$42</definedName>
    <definedName name="OSRRefH22_1x_0" localSheetId="79">'414'!$H$35:$H$44</definedName>
    <definedName name="OSRRefH22_1x_0" localSheetId="80">'415'!$H$37:$H$46</definedName>
    <definedName name="OSRRefH22_1x_0" localSheetId="81">'418'!$H$32:$H$41</definedName>
    <definedName name="OSRRefH22_1x_0" localSheetId="83">'423'!$H$29:$H$38</definedName>
    <definedName name="OSRRefH22_1x_0" localSheetId="84">'424'!$H$22</definedName>
    <definedName name="OSRRefH22_1x_0" localSheetId="85">'425'!$H$26</definedName>
    <definedName name="OSRRefH22_1x_0" localSheetId="88">'430'!$H$30:$H$39</definedName>
    <definedName name="OSRRefH22_1x_0" localSheetId="89">'433'!$H$38:$H$47</definedName>
    <definedName name="OSRRefH22_1x_0" localSheetId="91">'444'!$H$38:$H$47</definedName>
    <definedName name="OSRRefH22_1x_0" localSheetId="93">'450'!$H$34:$H$43</definedName>
    <definedName name="OSRRefH22_1x_0" localSheetId="72">'491'!$H$39:$H$48</definedName>
    <definedName name="OSRRefH22_1x_0" localSheetId="87">'492'!$H$38:$H$47</definedName>
    <definedName name="OSRRefH22_1x_0" localSheetId="95">'501'!$H$32:$H$41</definedName>
    <definedName name="OSRRefH22_1x_0" localSheetId="39">'Div 2'!$H$33:$H$42</definedName>
    <definedName name="OSRRefH22_1x_0" localSheetId="47">'Div 3'!$H$134:$H$143</definedName>
    <definedName name="OSRRefH22_1x_0" localSheetId="70">'Div 4'!$H$42:$H$51</definedName>
    <definedName name="OSRRefH22_1x_0" localSheetId="94">'Div 5'!$H$32:$H$41</definedName>
    <definedName name="OSRRefH22_1x_0" localSheetId="61">'Div 6'!$H$61:$H$70</definedName>
    <definedName name="OSRRefH22_1x_0" localSheetId="2">Summary!$H$161:$H$170</definedName>
    <definedName name="OSRRefH22_20x_0" localSheetId="48">'300'!$H$194:$H$202</definedName>
    <definedName name="OSRRefH22_20x_0" localSheetId="49">'300 &amp; 317'!$H$216:$H$224</definedName>
    <definedName name="OSRRefH22_20x_0" localSheetId="50">'301'!$H$91:$H$92</definedName>
    <definedName name="OSRRefH22_20x_0" localSheetId="63">'310'!$H$100</definedName>
    <definedName name="OSRRefH22_20x_0" localSheetId="71">'310 &amp; 491'!$H$112:$H$114</definedName>
    <definedName name="OSRRefH22_20x_0" localSheetId="58">'326'!$H$117</definedName>
    <definedName name="OSRRefH22_20x_0" localSheetId="56">'331'!$H$155</definedName>
    <definedName name="OSRRefH22_20x_0" localSheetId="72">'491'!$H$108:$H$110</definedName>
    <definedName name="OSRRefH22_20x_0" localSheetId="47">'Div 3'!$H$198:$H$199</definedName>
    <definedName name="OSRRefH22_20x_0" localSheetId="70">'Div 4'!$H$110:$H$111</definedName>
    <definedName name="OSRRefH22_20x_0" localSheetId="2">Summary!$H$222:$H$226</definedName>
    <definedName name="OSRRefH22_21x_0" localSheetId="48">'300'!$H$204:$H$205</definedName>
    <definedName name="OSRRefH22_21x_0" localSheetId="49">'300 &amp; 317'!$H$226:$H$227</definedName>
    <definedName name="OSRRefH22_21x_0" localSheetId="50">'301'!$H$94</definedName>
    <definedName name="OSRRefH22_21x_0" localSheetId="63">'310'!$H$102</definedName>
    <definedName name="OSRRefH22_21x_0" localSheetId="71">'310 &amp; 491'!$H$116</definedName>
    <definedName name="OSRRefH22_21x_0" localSheetId="56">'331'!$H$157:$H$158</definedName>
    <definedName name="OSRRefH22_21x_0" localSheetId="72">'491'!$H$112</definedName>
    <definedName name="OSRRefH22_21x_0" localSheetId="47">'Div 3'!$H$201:$H$209</definedName>
    <definedName name="OSRRefH22_21x_0" localSheetId="70">'Div 4'!$H$113</definedName>
    <definedName name="OSRRefH22_21x_0" localSheetId="2">Summary!$H$228:$H$229</definedName>
    <definedName name="OSRRefH22_22x_0" localSheetId="48">'300'!$H$207</definedName>
    <definedName name="OSRRefH22_22x_0" localSheetId="49">'300 &amp; 317'!$H$229</definedName>
    <definedName name="OSRRefH22_22x_0" localSheetId="56">'331'!$H$160</definedName>
    <definedName name="OSRRefH22_22x_0" localSheetId="47">'Div 3'!$H$211:$H$212</definedName>
    <definedName name="OSRRefH22_22x_0" localSheetId="70">'Div 4'!$H$115:$H$117</definedName>
    <definedName name="OSRRefH22_22x_0" localSheetId="2">Summary!$H$231:$H$241</definedName>
    <definedName name="OSRRefH22_23x_0" localSheetId="48">'300'!$H$209:$H$211</definedName>
    <definedName name="OSRRefH22_23x_0" localSheetId="49">'300 &amp; 317'!$H$231:$H$233</definedName>
    <definedName name="OSRRefH22_23x_0" localSheetId="47">'Div 3'!$H$214</definedName>
    <definedName name="OSRRefH22_23x_0" localSheetId="70">'Div 4'!$H$119</definedName>
    <definedName name="OSRRefH22_23x_0" localSheetId="2">Summary!$H$243:$H$244</definedName>
    <definedName name="OSRRefH22_24x_0" localSheetId="48">'300'!$H$213</definedName>
    <definedName name="OSRRefH22_24x_0" localSheetId="49">'300 &amp; 317'!$H$235</definedName>
    <definedName name="OSRRefH22_24x_0" localSheetId="47">'Div 3'!$H$216:$H$218</definedName>
    <definedName name="OSRRefH22_24x_0" localSheetId="2">Summary!$H$246</definedName>
    <definedName name="OSRRefH22_25x_0" localSheetId="47">'Div 3'!$H$220</definedName>
    <definedName name="OSRRefH22_25x_0" localSheetId="2">Summary!$H$248:$H$250</definedName>
    <definedName name="OSRRefH22_26x_0" localSheetId="2">Summary!$H$252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'300'!$H$141</definedName>
    <definedName name="OSRRefH22_2x_0" localSheetId="49">'300 &amp; 317'!$H$163</definedName>
    <definedName name="OSRRefH22_2x_0" localSheetId="50">'301'!$H$42</definedName>
    <definedName name="OSRRefH22_2x_0" localSheetId="52">'307'!$H$59</definedName>
    <definedName name="OSRRefH22_2x_0" localSheetId="53">'308'!$H$79</definedName>
    <definedName name="OSRRefH22_2x_0" localSheetId="64">'309'!$H$42</definedName>
    <definedName name="OSRRefH22_2x_0" localSheetId="63">'310'!$H$49</definedName>
    <definedName name="OSRRefH22_2x_0" localSheetId="71">'310 &amp; 491'!$H$53</definedName>
    <definedName name="OSRRefH22_2x_0" localSheetId="54">'311'!$H$78</definedName>
    <definedName name="OSRRefH22_2x_0" localSheetId="65">'313'!$H$44</definedName>
    <definedName name="OSRRefH22_2x_0" localSheetId="57">'315'!$H$101</definedName>
    <definedName name="OSRRefH22_2x_0" localSheetId="60">'316'!$H$53</definedName>
    <definedName name="OSRRefH22_2x_0" localSheetId="62">'317'!$H$72</definedName>
    <definedName name="OSRRefH22_2x_0" localSheetId="66">'321'!$H$47</definedName>
    <definedName name="OSRRefH22_2x_0" localSheetId="67">'322'!$H$43</definedName>
    <definedName name="OSRRefH22_2x_0" localSheetId="68">'325'!$H$45</definedName>
    <definedName name="OSRRefH22_2x_0" localSheetId="58">'326'!$H$68</definedName>
    <definedName name="OSRRefH22_2x_0" localSheetId="51">'330'!$H$59</definedName>
    <definedName name="OSRRefH22_2x_0" localSheetId="56">'331'!$H$102</definedName>
    <definedName name="OSRRefH22_2x_0" localSheetId="59">'332'!$H$53</definedName>
    <definedName name="OSRRefH22_2x_0" localSheetId="73">'405'!$H$44</definedName>
    <definedName name="OSRRefH22_2x_0" localSheetId="74">'406'!$H$24</definedName>
    <definedName name="OSRRefH22_2x_0" localSheetId="76">'411'!$H$41</definedName>
    <definedName name="OSRRefH22_2x_0" localSheetId="77">'412'!$H$42</definedName>
    <definedName name="OSRRefH22_2x_0" localSheetId="78">'413'!$H$44</definedName>
    <definedName name="OSRRefH22_2x_0" localSheetId="79">'414'!$H$46</definedName>
    <definedName name="OSRRefH22_2x_0" localSheetId="80">'415'!$H$48</definedName>
    <definedName name="OSRRefH22_2x_0" localSheetId="81">'418'!$H$43</definedName>
    <definedName name="OSRRefH22_2x_0" localSheetId="83">'423'!$H$40</definedName>
    <definedName name="OSRRefH22_2x_0" localSheetId="84">'424'!$H$24</definedName>
    <definedName name="OSRRefH22_2x_0" localSheetId="85">'425'!$H$28</definedName>
    <definedName name="OSRRefH22_2x_0" localSheetId="88">'430'!$H$41</definedName>
    <definedName name="OSRRefH22_2x_0" localSheetId="89">'433'!$H$49</definedName>
    <definedName name="OSRRefH22_2x_0" localSheetId="91">'444'!$H$49</definedName>
    <definedName name="OSRRefH22_2x_0" localSheetId="93">'450'!$H$45</definedName>
    <definedName name="OSRRefH22_2x_0" localSheetId="72">'491'!$H$50</definedName>
    <definedName name="OSRRefH22_2x_0" localSheetId="87">'492'!$H$49</definedName>
    <definedName name="OSRRefH22_2x_0" localSheetId="95">'501'!$H$43</definedName>
    <definedName name="OSRRefH22_2x_0" localSheetId="39">'Div 2'!$H$44</definedName>
    <definedName name="OSRRefH22_2x_0" localSheetId="47">'Div 3'!$H$145</definedName>
    <definedName name="OSRRefH22_2x_0" localSheetId="70">'Div 4'!$H$53</definedName>
    <definedName name="OSRRefH22_2x_0" localSheetId="94">'Div 5'!$H$43</definedName>
    <definedName name="OSRRefH22_2x_0" localSheetId="61">'Div 6'!$H$72</definedName>
    <definedName name="OSRRefH22_2x_0" localSheetId="2">Summary!$H$172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'300'!$H$143:$H$144</definedName>
    <definedName name="OSRRefH22_3x_0" localSheetId="49">'300 &amp; 317'!$H$165:$H$166</definedName>
    <definedName name="OSRRefH22_3x_0" localSheetId="50">'301'!$H$44:$H$45</definedName>
    <definedName name="OSRRefH22_3x_0" localSheetId="52">'307'!$H$61</definedName>
    <definedName name="OSRRefH22_3x_0" localSheetId="53">'308'!$H$81:$H$82</definedName>
    <definedName name="OSRRefH22_3x_0" localSheetId="64">'309'!$H$44</definedName>
    <definedName name="OSRRefH22_3x_0" localSheetId="63">'310'!$H$51</definedName>
    <definedName name="OSRRefH22_3x_0" localSheetId="71">'310 &amp; 491'!$H$55</definedName>
    <definedName name="OSRRefH22_3x_0" localSheetId="54">'311'!$H$80:$H$81</definedName>
    <definedName name="OSRRefH22_3x_0" localSheetId="65">'313'!$H$46</definedName>
    <definedName name="OSRRefH22_3x_0" localSheetId="57">'315'!$H$103</definedName>
    <definedName name="OSRRefH22_3x_0" localSheetId="60">'316'!$H$55</definedName>
    <definedName name="OSRRefH22_3x_0" localSheetId="62">'317'!$H$74</definedName>
    <definedName name="OSRRefH22_3x_0" localSheetId="66">'321'!$H$49</definedName>
    <definedName name="OSRRefH22_3x_0" localSheetId="67">'322'!$H$45</definedName>
    <definedName name="OSRRefH22_3x_0" localSheetId="68">'325'!$H$47</definedName>
    <definedName name="OSRRefH22_3x_0" localSheetId="58">'326'!$H$70</definedName>
    <definedName name="OSRRefH22_3x_0" localSheetId="51">'330'!$H$61</definedName>
    <definedName name="OSRRefH22_3x_0" localSheetId="56">'331'!$H$104</definedName>
    <definedName name="OSRRefH22_3x_0" localSheetId="59">'332'!$H$55</definedName>
    <definedName name="OSRRefH22_3x_0" localSheetId="73">'405'!$H$46</definedName>
    <definedName name="OSRRefH22_3x_0" localSheetId="74">'406'!$H$26</definedName>
    <definedName name="OSRRefH22_3x_0" localSheetId="76">'411'!$H$43</definedName>
    <definedName name="OSRRefH22_3x_0" localSheetId="77">'412'!$H$44</definedName>
    <definedName name="OSRRefH22_3x_0" localSheetId="78">'413'!$H$46</definedName>
    <definedName name="OSRRefH22_3x_0" localSheetId="79">'414'!$H$48</definedName>
    <definedName name="OSRRefH22_3x_0" localSheetId="80">'415'!$H$50</definedName>
    <definedName name="OSRRefH22_3x_0" localSheetId="81">'418'!$H$45</definedName>
    <definedName name="OSRRefH22_3x_0" localSheetId="83">'423'!$H$42:$H$43</definedName>
    <definedName name="OSRRefH22_3x_0" localSheetId="84">'424'!$H$26</definedName>
    <definedName name="OSRRefH22_3x_0" localSheetId="85">'425'!$H$30</definedName>
    <definedName name="OSRRefH22_3x_0" localSheetId="88">'430'!$H$43</definedName>
    <definedName name="OSRRefH22_3x_0" localSheetId="89">'433'!$H$51</definedName>
    <definedName name="OSRRefH22_3x_0" localSheetId="91">'444'!$H$51</definedName>
    <definedName name="OSRRefH22_3x_0" localSheetId="93">'450'!$H$47</definedName>
    <definedName name="OSRRefH22_3x_0" localSheetId="72">'491'!$H$52</definedName>
    <definedName name="OSRRefH22_3x_0" localSheetId="87">'492'!$H$51</definedName>
    <definedName name="OSRRefH22_3x_0" localSheetId="95">'501'!$H$45</definedName>
    <definedName name="OSRRefH22_3x_0" localSheetId="39">'Div 2'!$H$46</definedName>
    <definedName name="OSRRefH22_3x_0" localSheetId="47">'Div 3'!$H$147:$H$148</definedName>
    <definedName name="OSRRefH22_3x_0" localSheetId="70">'Div 4'!$H$55</definedName>
    <definedName name="OSRRefH22_3x_0" localSheetId="94">'Div 5'!$H$45</definedName>
    <definedName name="OSRRefH22_3x_0" localSheetId="61">'Div 6'!$H$74</definedName>
    <definedName name="OSRRefH22_3x_0" localSheetId="2">Summary!$H$174:$H$175</definedName>
    <definedName name="OSRRefH22_4x_0" localSheetId="40">'200'!$H$28:$H$29</definedName>
    <definedName name="OSRRefH22_4x_0" localSheetId="41">'201'!$H$46:$H$47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'300'!$H$146</definedName>
    <definedName name="OSRRefH22_4x_0" localSheetId="49">'300 &amp; 317'!$H$168</definedName>
    <definedName name="OSRRefH22_4x_0" localSheetId="50">'301'!$H$47</definedName>
    <definedName name="OSRRefH22_4x_0" localSheetId="52">'307'!$H$63</definedName>
    <definedName name="OSRRefH22_4x_0" localSheetId="53">'308'!$H$84</definedName>
    <definedName name="OSRRefH22_4x_0" localSheetId="64">'309'!$H$46</definedName>
    <definedName name="OSRRefH22_4x_0" localSheetId="63">'310'!$H$53</definedName>
    <definedName name="OSRRefH22_4x_0" localSheetId="71">'310 &amp; 491'!$H$57</definedName>
    <definedName name="OSRRefH22_4x_0" localSheetId="54">'311'!$H$83</definedName>
    <definedName name="OSRRefH22_4x_0" localSheetId="65">'313'!$H$48</definedName>
    <definedName name="OSRRefH22_4x_0" localSheetId="57">'315'!$H$105</definedName>
    <definedName name="OSRRefH22_4x_0" localSheetId="60">'316'!$H$57</definedName>
    <definedName name="OSRRefH22_4x_0" localSheetId="62">'317'!$H$76</definedName>
    <definedName name="OSRRefH22_4x_0" localSheetId="66">'321'!$H$51</definedName>
    <definedName name="OSRRefH22_4x_0" localSheetId="67">'322'!$H$47</definedName>
    <definedName name="OSRRefH22_4x_0" localSheetId="68">'325'!$H$49</definedName>
    <definedName name="OSRRefH22_4x_0" localSheetId="58">'326'!$H$72</definedName>
    <definedName name="OSRRefH22_4x_0" localSheetId="51">'330'!$H$63</definedName>
    <definedName name="OSRRefH22_4x_0" localSheetId="56">'331'!$H$106</definedName>
    <definedName name="OSRRefH22_4x_0" localSheetId="59">'332'!$H$57</definedName>
    <definedName name="OSRRefH22_4x_0" localSheetId="73">'405'!$H$48:$H$49</definedName>
    <definedName name="OSRRefH22_4x_0" localSheetId="74">'406'!$H$28</definedName>
    <definedName name="OSRRefH22_4x_0" localSheetId="76">'411'!$H$45:$H$46</definedName>
    <definedName name="OSRRefH22_4x_0" localSheetId="77">'412'!$H$46:$H$47</definedName>
    <definedName name="OSRRefH22_4x_0" localSheetId="78">'413'!$H$48</definedName>
    <definedName name="OSRRefH22_4x_0" localSheetId="79">'414'!$H$50</definedName>
    <definedName name="OSRRefH22_4x_0" localSheetId="80">'415'!$H$52</definedName>
    <definedName name="OSRRefH22_4x_0" localSheetId="81">'418'!$H$47:$H$48</definedName>
    <definedName name="OSRRefH22_4x_0" localSheetId="83">'423'!$H$45</definedName>
    <definedName name="OSRRefH22_4x_0" localSheetId="85">'425'!$H$32:$H$33</definedName>
    <definedName name="OSRRefH22_4x_0" localSheetId="88">'430'!$H$45:$H$47</definedName>
    <definedName name="OSRRefH22_4x_0" localSheetId="89">'433'!$H$53</definedName>
    <definedName name="OSRRefH22_4x_0" localSheetId="91">'444'!$H$53</definedName>
    <definedName name="OSRRefH22_4x_0" localSheetId="93">'450'!$H$49</definedName>
    <definedName name="OSRRefH22_4x_0" localSheetId="72">'491'!$H$54</definedName>
    <definedName name="OSRRefH22_4x_0" localSheetId="87">'492'!$H$53</definedName>
    <definedName name="OSRRefH22_4x_0" localSheetId="95">'501'!$H$47</definedName>
    <definedName name="OSRRefH22_4x_0" localSheetId="39">'Div 2'!$H$48</definedName>
    <definedName name="OSRRefH22_4x_0" localSheetId="47">'Div 3'!$H$150</definedName>
    <definedName name="OSRRefH22_4x_0" localSheetId="70">'Div 4'!$H$57</definedName>
    <definedName name="OSRRefH22_4x_0" localSheetId="94">'Div 5'!$H$47</definedName>
    <definedName name="OSRRefH22_4x_0" localSheetId="61">'Div 6'!$H$76</definedName>
    <definedName name="OSRRefH22_4x_0" localSheetId="2">Summary!$H$177</definedName>
    <definedName name="OSRRefH22_5x_0" localSheetId="41">'201'!$H$49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'300'!$H$148:$H$149</definedName>
    <definedName name="OSRRefH22_5x_0" localSheetId="49">'300 &amp; 317'!$H$170:$H$171</definedName>
    <definedName name="OSRRefH22_5x_0" localSheetId="50">'301'!$H$49:$H$50</definedName>
    <definedName name="OSRRefH22_5x_0" localSheetId="52">'307'!$H$65:$H$66</definedName>
    <definedName name="OSRRefH22_5x_0" localSheetId="53">'308'!$H$86</definedName>
    <definedName name="OSRRefH22_5x_0" localSheetId="64">'309'!$H$48</definedName>
    <definedName name="OSRRefH22_5x_0" localSheetId="63">'310'!$H$55:$H$56</definedName>
    <definedName name="OSRRefH22_5x_0" localSheetId="71">'310 &amp; 491'!$H$59:$H$61</definedName>
    <definedName name="OSRRefH22_5x_0" localSheetId="54">'311'!$H$85</definedName>
    <definedName name="OSRRefH22_5x_0" localSheetId="65">'313'!$H$50</definedName>
    <definedName name="OSRRefH22_5x_0" localSheetId="57">'315'!$H$107</definedName>
    <definedName name="OSRRefH22_5x_0" localSheetId="60">'316'!$H$59</definedName>
    <definedName name="OSRRefH22_5x_0" localSheetId="62">'317'!$H$78</definedName>
    <definedName name="OSRRefH22_5x_0" localSheetId="66">'321'!$H$53</definedName>
    <definedName name="OSRRefH22_5x_0" localSheetId="67">'322'!$H$49</definedName>
    <definedName name="OSRRefH22_5x_0" localSheetId="68">'325'!$H$51:$H$52</definedName>
    <definedName name="OSRRefH22_5x_0" localSheetId="58">'326'!$H$74</definedName>
    <definedName name="OSRRefH22_5x_0" localSheetId="51">'330'!$H$65:$H$66</definedName>
    <definedName name="OSRRefH22_5x_0" localSheetId="56">'331'!$H$108</definedName>
    <definedName name="OSRRefH22_5x_0" localSheetId="59">'332'!$H$59</definedName>
    <definedName name="OSRRefH22_5x_0" localSheetId="73">'405'!$H$51</definedName>
    <definedName name="OSRRefH22_5x_0" localSheetId="76">'411'!$H$48</definedName>
    <definedName name="OSRRefH22_5x_0" localSheetId="77">'412'!$H$49</definedName>
    <definedName name="OSRRefH22_5x_0" localSheetId="78">'413'!$H$50</definedName>
    <definedName name="OSRRefH22_5x_0" localSheetId="79">'414'!$H$52</definedName>
    <definedName name="OSRRefH22_5x_0" localSheetId="80">'415'!$H$54:$H$55</definedName>
    <definedName name="OSRRefH22_5x_0" localSheetId="81">'418'!$H$50</definedName>
    <definedName name="OSRRefH22_5x_0" localSheetId="83">'423'!$H$47</definedName>
    <definedName name="OSRRefH22_5x_0" localSheetId="85">'425'!$H$35</definedName>
    <definedName name="OSRRefH22_5x_0" localSheetId="88">'430'!$H$49:$H$50</definedName>
    <definedName name="OSRRefH22_5x_0" localSheetId="89">'433'!$H$55</definedName>
    <definedName name="OSRRefH22_5x_0" localSheetId="91">'444'!$H$55</definedName>
    <definedName name="OSRRefH22_5x_0" localSheetId="93">'450'!$H$51</definedName>
    <definedName name="OSRRefH22_5x_0" localSheetId="72">'491'!$H$56:$H$58</definedName>
    <definedName name="OSRRefH22_5x_0" localSheetId="87">'492'!$H$55</definedName>
    <definedName name="OSRRefH22_5x_0" localSheetId="95">'501'!$H$49:$H$50</definedName>
    <definedName name="OSRRefH22_5x_0" localSheetId="39">'Div 2'!$H$50:$H$51</definedName>
    <definedName name="OSRRefH22_5x_0" localSheetId="47">'Div 3'!$H$152:$H$153</definedName>
    <definedName name="OSRRefH22_5x_0" localSheetId="70">'Div 4'!$H$59:$H$61</definedName>
    <definedName name="OSRRefH22_5x_0" localSheetId="94">'Div 5'!$H$49:$H$50</definedName>
    <definedName name="OSRRefH22_5x_0" localSheetId="61">'Div 6'!$H$78</definedName>
    <definedName name="OSRRefH22_5x_0" localSheetId="2">Summary!$H$179:$H$181</definedName>
    <definedName name="OSRRefH22_6x_0" localSheetId="41">'201'!$H$51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'205'!$H$50:$H$52</definedName>
    <definedName name="OSRRefH22_6x_0" localSheetId="46">'206'!$H$49</definedName>
    <definedName name="OSRRefH22_6x_0" localSheetId="48">'300'!$H$151:$H$152</definedName>
    <definedName name="OSRRefH22_6x_0" localSheetId="49">'300 &amp; 317'!$H$173:$H$174</definedName>
    <definedName name="OSRRefH22_6x_0" localSheetId="50">'301'!$H$52</definedName>
    <definedName name="OSRRefH22_6x_0" localSheetId="52">'307'!$H$68</definedName>
    <definedName name="OSRRefH22_6x_0" localSheetId="53">'308'!$H$88:$H$89</definedName>
    <definedName name="OSRRefH22_6x_0" localSheetId="64">'309'!$H$50</definedName>
    <definedName name="OSRRefH22_6x_0" localSheetId="63">'310'!$H$58</definedName>
    <definedName name="OSRRefH22_6x_0" localSheetId="71">'310 &amp; 491'!$H$63</definedName>
    <definedName name="OSRRefH22_6x_0" localSheetId="54">'311'!$H$87:$H$88</definedName>
    <definedName name="OSRRefH22_6x_0" localSheetId="65">'313'!$H$52:$H$53</definedName>
    <definedName name="OSRRefH22_6x_0" localSheetId="57">'315'!$H$109</definedName>
    <definedName name="OSRRefH22_6x_0" localSheetId="60">'316'!$H$61:$H$62</definedName>
    <definedName name="OSRRefH22_6x_0" localSheetId="62">'317'!$H$80:$H$81</definedName>
    <definedName name="OSRRefH22_6x_0" localSheetId="66">'321'!$H$55</definedName>
    <definedName name="OSRRefH22_6x_0" localSheetId="67">'322'!$H$51</definedName>
    <definedName name="OSRRefH22_6x_0" localSheetId="68">'325'!$H$54</definedName>
    <definedName name="OSRRefH22_6x_0" localSheetId="58">'326'!$H$76</definedName>
    <definedName name="OSRRefH22_6x_0" localSheetId="51">'330'!$H$68</definedName>
    <definedName name="OSRRefH22_6x_0" localSheetId="56">'331'!$H$110</definedName>
    <definedName name="OSRRefH22_6x_0" localSheetId="59">'332'!$H$61:$H$62</definedName>
    <definedName name="OSRRefH22_6x_0" localSheetId="73">'405'!$H$53</definedName>
    <definedName name="OSRRefH22_6x_0" localSheetId="76">'411'!$H$50</definedName>
    <definedName name="OSRRefH22_6x_0" localSheetId="77">'412'!$H$51</definedName>
    <definedName name="OSRRefH22_6x_0" localSheetId="78">'413'!$H$52</definedName>
    <definedName name="OSRRefH22_6x_0" localSheetId="79">'414'!$H$54</definedName>
    <definedName name="OSRRefH22_6x_0" localSheetId="80">'415'!$H$57</definedName>
    <definedName name="OSRRefH22_6x_0" localSheetId="81">'418'!$H$52</definedName>
    <definedName name="OSRRefH22_6x_0" localSheetId="83">'423'!$H$49</definedName>
    <definedName name="OSRRefH22_6x_0" localSheetId="88">'430'!$H$52</definedName>
    <definedName name="OSRRefH22_6x_0" localSheetId="89">'433'!$H$57</definedName>
    <definedName name="OSRRefH22_6x_0" localSheetId="91">'444'!$H$57</definedName>
    <definedName name="OSRRefH22_6x_0" localSheetId="93">'450'!$H$53</definedName>
    <definedName name="OSRRefH22_6x_0" localSheetId="72">'491'!$H$60</definedName>
    <definedName name="OSRRefH22_6x_0" localSheetId="87">'492'!$H$57</definedName>
    <definedName name="OSRRefH22_6x_0" localSheetId="95">'501'!$H$52</definedName>
    <definedName name="OSRRefH22_6x_0" localSheetId="39">'Div 2'!$H$53:$H$54</definedName>
    <definedName name="OSRRefH22_6x_0" localSheetId="47">'Div 3'!$H$155:$H$156</definedName>
    <definedName name="OSRRefH22_6x_0" localSheetId="70">'Div 4'!$H$63</definedName>
    <definedName name="OSRRefH22_6x_0" localSheetId="94">'Div 5'!$H$52</definedName>
    <definedName name="OSRRefH22_6x_0" localSheetId="61">'Div 6'!$H$80:$H$81</definedName>
    <definedName name="OSRRefH22_6x_0" localSheetId="2">Summary!$H$183:$H$184</definedName>
    <definedName name="OSRRefH22_7x_0" localSheetId="41">'201'!$H$53</definedName>
    <definedName name="OSRRefH22_7x_0" localSheetId="42">'202'!$H$53:$H$55</definedName>
    <definedName name="OSRRefH22_7x_0" localSheetId="43">'203'!$H$52:$H$53</definedName>
    <definedName name="OSRRefH22_7x_0" localSheetId="44">'204'!$H$53:$H$55</definedName>
    <definedName name="OSRRefH22_7x_0" localSheetId="45">'205'!$H$54</definedName>
    <definedName name="OSRRefH22_7x_0" localSheetId="46">'206'!$H$51</definedName>
    <definedName name="OSRRefH22_7x_0" localSheetId="48">'300'!$H$154:$H$155</definedName>
    <definedName name="OSRRefH22_7x_0" localSheetId="49">'300 &amp; 317'!$H$176:$H$177</definedName>
    <definedName name="OSRRefH22_7x_0" localSheetId="50">'301'!$H$54</definedName>
    <definedName name="OSRRefH22_7x_0" localSheetId="52">'307'!$H$70</definedName>
    <definedName name="OSRRefH22_7x_0" localSheetId="53">'308'!$H$91:$H$92</definedName>
    <definedName name="OSRRefH22_7x_0" localSheetId="64">'309'!$H$52:$H$53</definedName>
    <definedName name="OSRRefH22_7x_0" localSheetId="63">'310'!$H$60</definedName>
    <definedName name="OSRRefH22_7x_0" localSheetId="71">'310 &amp; 491'!$H$65</definedName>
    <definedName name="OSRRefH22_7x_0" localSheetId="54">'311'!$H$90:$H$91</definedName>
    <definedName name="OSRRefH22_7x_0" localSheetId="65">'313'!$H$55</definedName>
    <definedName name="OSRRefH22_7x_0" localSheetId="57">'315'!$H$111:$H$112</definedName>
    <definedName name="OSRRefH22_7x_0" localSheetId="60">'316'!$H$64:$H$65</definedName>
    <definedName name="OSRRefH22_7x_0" localSheetId="62">'317'!$H$83</definedName>
    <definedName name="OSRRefH22_7x_0" localSheetId="66">'321'!$H$57:$H$58</definedName>
    <definedName name="OSRRefH22_7x_0" localSheetId="67">'322'!$H$53:$H$54</definedName>
    <definedName name="OSRRefH22_7x_0" localSheetId="68">'325'!$H$56</definedName>
    <definedName name="OSRRefH22_7x_0" localSheetId="58">'326'!$H$78</definedName>
    <definedName name="OSRRefH22_7x_0" localSheetId="51">'330'!$H$70</definedName>
    <definedName name="OSRRefH22_7x_0" localSheetId="56">'331'!$H$112</definedName>
    <definedName name="OSRRefH22_7x_0" localSheetId="59">'332'!$H$64:$H$65</definedName>
    <definedName name="OSRRefH22_7x_0" localSheetId="73">'405'!$H$55</definedName>
    <definedName name="OSRRefH22_7x_0" localSheetId="76">'411'!$H$52</definedName>
    <definedName name="OSRRefH22_7x_0" localSheetId="77">'412'!$H$53</definedName>
    <definedName name="OSRRefH22_7x_0" localSheetId="78">'413'!$H$54</definedName>
    <definedName name="OSRRefH22_7x_0" localSheetId="79">'414'!$H$56</definedName>
    <definedName name="OSRRefH22_7x_0" localSheetId="80">'415'!$H$59</definedName>
    <definedName name="OSRRefH22_7x_0" localSheetId="81">'418'!$H$54</definedName>
    <definedName name="OSRRefH22_7x_0" localSheetId="88">'430'!$H$54</definedName>
    <definedName name="OSRRefH22_7x_0" localSheetId="89">'433'!$H$59</definedName>
    <definedName name="OSRRefH22_7x_0" localSheetId="91">'444'!$H$59</definedName>
    <definedName name="OSRRefH22_7x_0" localSheetId="93">'450'!$H$55</definedName>
    <definedName name="OSRRefH22_7x_0" localSheetId="72">'491'!$H$62</definedName>
    <definedName name="OSRRefH22_7x_0" localSheetId="87">'492'!$H$59</definedName>
    <definedName name="OSRRefH22_7x_0" localSheetId="95">'501'!$H$54</definedName>
    <definedName name="OSRRefH22_7x_0" localSheetId="39">'Div 2'!$H$56</definedName>
    <definedName name="OSRRefH22_7x_0" localSheetId="47">'Div 3'!$H$158:$H$159</definedName>
    <definedName name="OSRRefH22_7x_0" localSheetId="70">'Div 4'!$H$65</definedName>
    <definedName name="OSRRefH22_7x_0" localSheetId="94">'Div 5'!$H$54</definedName>
    <definedName name="OSRRefH22_7x_0" localSheetId="61">'Div 6'!$H$83</definedName>
    <definedName name="OSRRefH22_7x_0" localSheetId="2">Summary!$H$186:$H$187</definedName>
    <definedName name="OSRRefH22_8x_0" localSheetId="41">'201'!$H$55</definedName>
    <definedName name="OSRRefH22_8x_0" localSheetId="42">'202'!$H$57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'300'!$H$157</definedName>
    <definedName name="OSRRefH22_8x_0" localSheetId="49">'300 &amp; 317'!$H$179</definedName>
    <definedName name="OSRRefH22_8x_0" localSheetId="50">'301'!$H$56</definedName>
    <definedName name="OSRRefH22_8x_0" localSheetId="52">'307'!$H$72</definedName>
    <definedName name="OSRRefH22_8x_0" localSheetId="53">'308'!$H$94</definedName>
    <definedName name="OSRRefH22_8x_0" localSheetId="64">'309'!$H$55:$H$56</definedName>
    <definedName name="OSRRefH22_8x_0" localSheetId="63">'310'!$H$62</definedName>
    <definedName name="OSRRefH22_8x_0" localSheetId="71">'310 &amp; 491'!$H$67:$H$68</definedName>
    <definedName name="OSRRefH22_8x_0" localSheetId="54">'311'!$H$93</definedName>
    <definedName name="OSRRefH22_8x_0" localSheetId="65">'313'!$H$57:$H$59</definedName>
    <definedName name="OSRRefH22_8x_0" localSheetId="57">'315'!$H$114</definedName>
    <definedName name="OSRRefH22_8x_0" localSheetId="60">'316'!$H$67</definedName>
    <definedName name="OSRRefH22_8x_0" localSheetId="62">'317'!$H$85</definedName>
    <definedName name="OSRRefH22_8x_0" localSheetId="66">'321'!$H$60:$H$61</definedName>
    <definedName name="OSRRefH22_8x_0" localSheetId="67">'322'!$H$56:$H$57</definedName>
    <definedName name="OSRRefH22_8x_0" localSheetId="68">'325'!$H$58</definedName>
    <definedName name="OSRRefH22_8x_0" localSheetId="58">'326'!$H$80:$H$81</definedName>
    <definedName name="OSRRefH22_8x_0" localSheetId="51">'330'!$H$72</definedName>
    <definedName name="OSRRefH22_8x_0" localSheetId="56">'331'!$H$114:$H$115</definedName>
    <definedName name="OSRRefH22_8x_0" localSheetId="59">'332'!$H$67</definedName>
    <definedName name="OSRRefH22_8x_0" localSheetId="73">'405'!$H$57</definedName>
    <definedName name="OSRRefH22_8x_0" localSheetId="76">'411'!$H$54</definedName>
    <definedName name="OSRRefH22_8x_0" localSheetId="77">'412'!$H$55:$H$56</definedName>
    <definedName name="OSRRefH22_8x_0" localSheetId="78">'413'!$H$56:$H$59</definedName>
    <definedName name="OSRRefH22_8x_0" localSheetId="79">'414'!$H$58:$H$59</definedName>
    <definedName name="OSRRefH22_8x_0" localSheetId="80">'415'!$H$61</definedName>
    <definedName name="OSRRefH22_8x_0" localSheetId="81">'418'!$H$56:$H$58</definedName>
    <definedName name="OSRRefH22_8x_0" localSheetId="89">'433'!$H$61</definedName>
    <definedName name="OSRRefH22_8x_0" localSheetId="91">'444'!$H$61</definedName>
    <definedName name="OSRRefH22_8x_0" localSheetId="93">'450'!$H$57</definedName>
    <definedName name="OSRRefH22_8x_0" localSheetId="72">'491'!$H$64</definedName>
    <definedName name="OSRRefH22_8x_0" localSheetId="87">'492'!$H$61</definedName>
    <definedName name="OSRRefH22_8x_0" localSheetId="95">'501'!$H$56</definedName>
    <definedName name="OSRRefH22_8x_0" localSheetId="39">'Div 2'!$H$58</definedName>
    <definedName name="OSRRefH22_8x_0" localSheetId="47">'Div 3'!$H$161</definedName>
    <definedName name="OSRRefH22_8x_0" localSheetId="70">'Div 4'!$H$67</definedName>
    <definedName name="OSRRefH22_8x_0" localSheetId="94">'Div 5'!$H$56</definedName>
    <definedName name="OSRRefH22_8x_0" localSheetId="61">'Div 6'!$H$85</definedName>
    <definedName name="OSRRefH22_8x_0" localSheetId="2">Summary!$H$189</definedName>
    <definedName name="OSRRefH22_9x_0" localSheetId="41">'201'!$H$57</definedName>
    <definedName name="OSRRefH22_9x_0" localSheetId="42">'202'!$H$59:$H$61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'300'!$H$159</definedName>
    <definedName name="OSRRefH22_9x_0" localSheetId="49">'300 &amp; 317'!$H$181</definedName>
    <definedName name="OSRRefH22_9x_0" localSheetId="50">'301'!$H$58</definedName>
    <definedName name="OSRRefH22_9x_0" localSheetId="52">'307'!$H$74:$H$75</definedName>
    <definedName name="OSRRefH22_9x_0" localSheetId="53">'308'!$H$96:$H$97</definedName>
    <definedName name="OSRRefH22_9x_0" localSheetId="64">'309'!$H$58:$H$60</definedName>
    <definedName name="OSRRefH22_9x_0" localSheetId="63">'310'!$H$64</definedName>
    <definedName name="OSRRefH22_9x_0" localSheetId="71">'310 &amp; 491'!$H$70</definedName>
    <definedName name="OSRRefH22_9x_0" localSheetId="54">'311'!$H$95:$H$96</definedName>
    <definedName name="OSRRefH22_9x_0" localSheetId="65">'313'!$H$61:$H$62</definedName>
    <definedName name="OSRRefH22_9x_0" localSheetId="57">'315'!$H$116</definedName>
    <definedName name="OSRRefH22_9x_0" localSheetId="60">'316'!$H$69:$H$73</definedName>
    <definedName name="OSRRefH22_9x_0" localSheetId="62">'317'!$H$87</definedName>
    <definedName name="OSRRefH22_9x_0" localSheetId="66">'321'!$H$63:$H$64</definedName>
    <definedName name="OSRRefH22_9x_0" localSheetId="67">'322'!$H$59:$H$62</definedName>
    <definedName name="OSRRefH22_9x_0" localSheetId="68">'325'!$H$60</definedName>
    <definedName name="OSRRefH22_9x_0" localSheetId="58">'326'!$H$83</definedName>
    <definedName name="OSRRefH22_9x_0" localSheetId="51">'330'!$H$74:$H$75</definedName>
    <definedName name="OSRRefH22_9x_0" localSheetId="56">'331'!$H$117:$H$118</definedName>
    <definedName name="OSRRefH22_9x_0" localSheetId="59">'332'!$H$69:$H$73</definedName>
    <definedName name="OSRRefH22_9x_0" localSheetId="73">'405'!$H$59:$H$60</definedName>
    <definedName name="OSRRefH22_9x_0" localSheetId="76">'411'!$H$56:$H$58</definedName>
    <definedName name="OSRRefH22_9x_0" localSheetId="77">'412'!$H$58</definedName>
    <definedName name="OSRRefH22_9x_0" localSheetId="78">'413'!$H$61:$H$62</definedName>
    <definedName name="OSRRefH22_9x_0" localSheetId="79">'414'!$H$61</definedName>
    <definedName name="OSRRefH22_9x_0" localSheetId="80">'415'!$H$63</definedName>
    <definedName name="OSRRefH22_9x_0" localSheetId="81">'418'!$H$60:$H$61</definedName>
    <definedName name="OSRRefH22_9x_0" localSheetId="89">'433'!$H$63</definedName>
    <definedName name="OSRRefH22_9x_0" localSheetId="91">'444'!$H$63</definedName>
    <definedName name="OSRRefH22_9x_0" localSheetId="93">'450'!$H$59</definedName>
    <definedName name="OSRRefH22_9x_0" localSheetId="72">'491'!$H$66</definedName>
    <definedName name="OSRRefH22_9x_0" localSheetId="87">'492'!$H$63</definedName>
    <definedName name="OSRRefH22_9x_0" localSheetId="95">'501'!$H$58:$H$61</definedName>
    <definedName name="OSRRefH22_9x_0" localSheetId="39">'Div 2'!$H$60:$H$61</definedName>
    <definedName name="OSRRefH22_9x_0" localSheetId="47">'Div 3'!$H$163</definedName>
    <definedName name="OSRRefH22_9x_0" localSheetId="70">'Div 4'!$H$69</definedName>
    <definedName name="OSRRefH22_9x_0" localSheetId="94">'Div 5'!$H$58:$H$61</definedName>
    <definedName name="OSRRefH22_9x_0" localSheetId="61">'Div 6'!$H$87</definedName>
    <definedName name="OSRRefH22_9x_0" localSheetId="2">Summary!$H$191</definedName>
    <definedName name="OSRRefH22x_0" localSheetId="40">'200'!$H$20,'200'!$H$22,'200'!$H$24,'200'!$H$26,'200'!$H$28:$H$29</definedName>
    <definedName name="OSRRefH22x_0" localSheetId="41">'201'!$H$21:$H$29,'201'!$H$31:$H$40,'201'!$H$42,'201'!$H$44,'201'!$H$46:$H$47,'201'!$H$49,'201'!$H$51,'201'!$H$53,'201'!$H$55,'201'!$H$57,'201'!$H$59:$H$61,'201'!$H$63,'201'!$H$65,'201'!$H$67:$H$69,'201'!$H$71,'201'!$H$73,'201'!$H$75</definedName>
    <definedName name="OSRRefH22x_0" localSheetId="42">'202'!$H$21:$H$29,'202'!$H$31:$H$40,'202'!$H$42,'202'!$H$44,'202'!$H$46:$H$47,'202'!$H$49,'202'!$H$51,'202'!$H$53:$H$55,'202'!$H$57,'202'!$H$59:$H$61,'202'!$H$63,'202'!$H$65,'202'!$H$67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$119:$H$128,'300'!$H$130:$H$139,'300'!$H$141,'300'!$H$143:$H$144,'300'!$H$146,'300'!$H$148:$H$149,'300'!$H$151:$H$152,'300'!$H$154:$H$155,'300'!$H$157,'300'!$H$159,'300'!$H$161:$H$162,'300'!$H$164:$H$166,'300'!$H$168,'300'!$H$170,'300'!$H$172,'300'!$H$174,'300'!$H$176:$H$179,'300'!$H$181:$H$184,'300'!$H$186:$H$189,'300'!$H$191:$H$192,'300'!$H$194:$H$202,'300'!$H$204:$H$205,'300'!$H$207,'300'!$H$209:$H$211,'300'!$H$213</definedName>
    <definedName name="OSRRefH22x_0" localSheetId="49">'300 &amp; 317'!$H$141:$H$150,'300 &amp; 317'!$H$152:$H$161,'300 &amp; 317'!$H$163,'300 &amp; 317'!$H$165:$H$166,'300 &amp; 317'!$H$168,'300 &amp; 317'!$H$170:$H$171,'300 &amp; 317'!$H$173:$H$174,'300 &amp; 317'!$H$176:$H$177,'300 &amp; 317'!$H$179,'300 &amp; 317'!$H$181,'300 &amp; 317'!$H$183:$H$184,'300 &amp; 317'!$H$186:$H$188,'300 &amp; 317'!$H$190,'300 &amp; 317'!$H$192,'300 &amp; 317'!$H$194,'300 &amp; 317'!$H$196,'300 &amp; 317'!$H$198:$H$201,'300 &amp; 317'!$H$203:$H$206,'300 &amp; 317'!$H$208:$H$211,'300 &amp; 317'!$H$213:$H$214,'300 &amp; 317'!$H$216:$H$224,'300 &amp; 317'!$H$226:$H$227,'300 &amp; 317'!$H$229,'300 &amp; 317'!$H$231:$H$233,'300 &amp; 317'!$H$235</definedName>
    <definedName name="OSRRefH22x_0" localSheetId="50">'301'!$H$20:$H$29,'301'!$H$31:$H$40,'301'!$H$42,'301'!$H$44:$H$45,'301'!$H$47,'301'!$H$49:$H$50,'301'!$H$52,'301'!$H$54,'301'!$H$56,'301'!$H$58,'301'!$H$60,'301'!$H$62,'301'!$H$64,'301'!$H$66,'301'!$H$68:$H$71,'301'!$H$73:$H$75,'301'!$H$77,'301'!$H$79:$H$85,'301'!$H$87,'301'!$H$89,'301'!$H$91:$H$92,'301'!$H$94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'308'!$H$57:$H$66,'308'!$H$68:$H$77,'308'!$H$79,'308'!$H$81:$H$82,'308'!$H$84,'308'!$H$86,'308'!$H$88:$H$89,'308'!$H$91:$H$92,'308'!$H$94,'308'!$H$96:$H$97,'308'!$H$99:$H$100,'308'!$H$102:$H$104,'308'!$H$106:$H$107,'308'!$H$109,'308'!$H$111</definedName>
    <definedName name="OSRRefH22x_0" localSheetId="64">'309'!$H$22:$H$29,'309'!$H$31:$H$40,'309'!$H$42,'309'!$H$44,'309'!$H$46,'309'!$H$48,'309'!$H$50,'309'!$H$52:$H$53,'309'!$H$55:$H$56,'309'!$H$58:$H$60,'309'!$H$62</definedName>
    <definedName name="OSRRefH22x_0" localSheetId="63">'310'!$H$28:$H$36,'310'!$H$38:$H$47,'310'!$H$49,'310'!$H$51,'310'!$H$53,'310'!$H$55:$H$56,'310'!$H$58,'310'!$H$60,'310'!$H$62,'310'!$H$64,'310'!$H$66,'310'!$H$68,'310'!$H$70,'310'!$H$72:$H$75,'310'!$H$77:$H$78,'310'!$H$80:$H$83,'310'!$H$85,'310'!$H$87:$H$93,'310'!$H$95:$H$96,'310'!$H$98,'310'!$H$100,'310'!$H$102</definedName>
    <definedName name="OSRRefH22x_0" localSheetId="71">'310 &amp; 491'!$H$32:$H$40,'310 &amp; 491'!$H$42:$H$51,'310 &amp; 491'!$H$53,'310 &amp; 491'!$H$55,'310 &amp; 491'!$H$57,'310 &amp; 491'!$H$59:$H$61,'310 &amp; 491'!$H$63,'310 &amp; 491'!$H$65,'310 &amp; 491'!$H$67:$H$68,'310 &amp; 491'!$H$70,'310 &amp; 491'!$H$72,'310 &amp; 491'!$H$74,'310 &amp; 491'!$H$76,'310 &amp; 491'!$H$78:$H$81,'310 &amp; 491'!$H$83:$H$84,'310 &amp; 491'!$H$86:$H$90,'310 &amp; 491'!$H$92:$H$93,'310 &amp; 491'!$H$95:$H$105,'310 &amp; 491'!$H$107:$H$108,'310 &amp; 491'!$H$110,'310 &amp; 491'!$H$112:$H$114,'310 &amp; 491'!$H$116</definedName>
    <definedName name="OSRRefH22x_0" localSheetId="54">'311'!$H$56:$H$65,'311'!$H$67:$H$76,'311'!$H$78,'311'!$H$80:$H$81,'311'!$H$83,'311'!$H$85,'311'!$H$87:$H$88,'311'!$H$90:$H$91,'311'!$H$93,'311'!$H$95:$H$96,'311'!$H$98:$H$99,'311'!$H$101:$H$103,'311'!$H$105:$H$106,'311'!$H$108,'311'!$H$110</definedName>
    <definedName name="OSRRefH22x_0" localSheetId="65">'313'!$H$23:$H$31,'313'!$H$33:$H$42,'313'!$H$44,'313'!$H$46,'313'!$H$48,'313'!$H$50,'313'!$H$52:$H$53,'313'!$H$55,'313'!$H$57:$H$59,'313'!$H$61:$H$62,'313'!$H$64,'313'!$H$66</definedName>
    <definedName name="OSRRefH22x_0" localSheetId="57">'315'!$H$80:$H$88,'315'!$H$90:$H$99,'315'!$H$101,'315'!$H$103,'315'!$H$105,'315'!$H$107,'315'!$H$109,'315'!$H$111:$H$112,'315'!$H$114,'315'!$H$116,'315'!$H$118,'315'!$H$120,'315'!$H$122:$H$124,'315'!$H$126:$H$127,'315'!$H$129:$H$135,'315'!$H$137,'315'!$H$139,'315'!$H$141:$H$142</definedName>
    <definedName name="OSRRefH22x_0" localSheetId="60">'316'!$H$32:$H$40,'316'!$H$42:$H$51,'316'!$H$53,'316'!$H$55,'316'!$H$57,'316'!$H$59,'316'!$H$61:$H$62,'316'!$H$64:$H$65,'316'!$H$67,'316'!$H$69:$H$73,'316'!$H$75,'316'!$H$77</definedName>
    <definedName name="OSRRefH22x_0" localSheetId="62">'317'!$H$50:$H$59,'317'!$H$61:$H$70,'317'!$H$72,'317'!$H$74,'317'!$H$76,'317'!$H$78,'317'!$H$80:$H$81,'317'!$H$83,'317'!$H$85,'317'!$H$87,'317'!$H$89:$H$91,'317'!$H$93,'317'!$H$95</definedName>
    <definedName name="OSRRefH22x_0" localSheetId="66">'321'!$H$26:$H$34,'321'!$H$36:$H$45,'321'!$H$47,'321'!$H$49,'321'!$H$51,'321'!$H$53,'321'!$H$55,'321'!$H$57:$H$58,'321'!$H$60:$H$61,'321'!$H$63:$H$64,'321'!$H$66:$H$68,'321'!$H$70:$H$71,'321'!$H$73,'321'!$H$75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8">'326'!$H$47:$H$55,'326'!$H$57:$H$66,'326'!$H$68,'326'!$H$70,'326'!$H$72,'326'!$H$74,'326'!$H$76,'326'!$H$78,'326'!$H$80:$H$81,'326'!$H$83,'326'!$H$85,'326'!$H$87,'326'!$H$89,'326'!$H$91:$H$93,'326'!$H$95:$H$97,'326'!$H$99:$H$100,'326'!$H$102:$H$107,'326'!$H$109:$H$110,'326'!$H$112,'326'!$H$114:$H$115,'326'!$H$117</definedName>
    <definedName name="OSRRefH22x_0" localSheetId="69">'327'!$H$24</definedName>
    <definedName name="OSRRefH22x_0" localSheetId="51">'330'!$H$39:$H$46,'330'!$H$48:$H$57,'330'!$H$59,'330'!$H$61,'330'!$H$63,'330'!$H$65:$H$66,'330'!$H$68,'330'!$H$70,'330'!$H$72,'330'!$H$74:$H$75,'330'!$H$77:$H$78,'330'!$H$80:$H$83,'330'!$H$85:$H$86,'330'!$H$88</definedName>
    <definedName name="OSRRefH22x_0" localSheetId="56">'331'!$H$81:$H$89,'331'!$H$91:$H$100,'331'!$H$102,'331'!$H$104,'331'!$H$106,'331'!$H$108,'331'!$H$110,'331'!$H$112,'331'!$H$114:$H$115,'331'!$H$117:$H$118,'331'!$H$120,'331'!$H$122,'331'!$H$124,'331'!$H$126,'331'!$H$128:$H$130,'331'!$H$132:$H$134,'331'!$H$136:$H$138,'331'!$H$140:$H$141,'331'!$H$143:$H$150,'331'!$H$152:$H$153,'331'!$H$155,'331'!$H$157:$H$158,'331'!$H$160</definedName>
    <definedName name="OSRRefH22x_0" localSheetId="59">'332'!$H$32:$H$40,'332'!$H$42:$H$51,'332'!$H$53,'332'!$H$55,'332'!$H$57,'332'!$H$59,'332'!$H$61:$H$62,'332'!$H$64:$H$65,'332'!$H$67,'332'!$H$69:$H$73,'332'!$H$75,'332'!$H$77</definedName>
    <definedName name="OSRRefH22x_0" localSheetId="73">'405'!$H$24:$H$31,'405'!$H$33:$H$42,'405'!$H$44,'405'!$H$46,'405'!$H$48:$H$49,'405'!$H$51,'405'!$H$53,'405'!$H$55,'405'!$H$57,'405'!$H$59:$H$60,'405'!$H$62,'405'!$H$64:$H$67,'405'!$H$69,'405'!$H$71:$H$79,'405'!$H$81,'405'!$H$83,'405'!$H$85,'405'!$H$87</definedName>
    <definedName name="OSRRefH22x_0" localSheetId="74">'406'!$H$20,'406'!$H$22,'406'!$H$24,'406'!$H$26,'406'!$H$28</definedName>
    <definedName name="OSRRefH22x_0" localSheetId="76">'411'!$H$20:$H$28,'411'!$H$30:$H$39,'411'!$H$41,'411'!$H$43,'411'!$H$45:$H$46,'411'!$H$48,'411'!$H$50,'411'!$H$52,'411'!$H$54,'411'!$H$56:$H$58,'411'!$H$60:$H$63,'411'!$H$65,'411'!$H$67:$H$73,'411'!$H$75,'411'!$H$77,'411'!$H$79</definedName>
    <definedName name="OSRRefH22x_0" localSheetId="77">'412'!$H$22:$H$29,'412'!$H$31:$H$40,'412'!$H$42,'412'!$H$44,'412'!$H$46:$H$47,'412'!$H$49,'412'!$H$51,'412'!$H$53,'412'!$H$55:$H$56,'412'!$H$58,'412'!$H$60:$H$63,'412'!$H$65:$H$69,'412'!$H$71:$H$72,'412'!$H$74</definedName>
    <definedName name="OSRRefH22x_0" localSheetId="78">'413'!$H$23:$H$31,'413'!$H$33:$H$42,'413'!$H$44,'413'!$H$46,'413'!$H$48,'413'!$H$50,'413'!$H$52,'413'!$H$54,'413'!$H$56:$H$59,'413'!$H$61:$H$62,'413'!$H$64:$H$71,'413'!$H$73:$H$74,'413'!$H$76</definedName>
    <definedName name="OSRRefH22x_0" localSheetId="79">'414'!$H$25:$H$33,'414'!$H$35:$H$44,'414'!$H$46,'414'!$H$48,'414'!$H$50,'414'!$H$52,'414'!$H$54,'414'!$H$56,'414'!$H$58:$H$59,'414'!$H$61,'414'!$H$63,'414'!$H$65,'414'!$H$67:$H$69,'414'!$H$71,'414'!$H$73,'414'!$H$75</definedName>
    <definedName name="OSRRefH22x_0" localSheetId="80">'415'!$H$27:$H$35,'415'!$H$37:$H$46,'415'!$H$48,'415'!$H$50,'415'!$H$52,'415'!$H$54:$H$55,'415'!$H$57,'415'!$H$59,'415'!$H$61,'415'!$H$63,'415'!$H$65,'415'!$H$67:$H$68,'415'!$H$70:$H$74,'415'!$H$76,'415'!$H$78:$H$85,'415'!$H$87:$H$88,'415'!$H$90,'415'!$H$92:$H$93,'415'!$H$95</definedName>
    <definedName name="OSRRefH22x_0" localSheetId="81">'418'!$H$23:$H$30,'418'!$H$32:$H$41,'418'!$H$43,'418'!$H$45,'418'!$H$47:$H$48,'418'!$H$50,'418'!$H$52,'418'!$H$54,'418'!$H$56:$H$58,'418'!$H$60:$H$61,'418'!$H$63:$H$64,'418'!$H$66:$H$75,'418'!$H$77:$H$78,'418'!$H$80</definedName>
    <definedName name="OSRRefH22x_0" localSheetId="82">'420'!$H$21</definedName>
    <definedName name="OSRRefH22x_0" localSheetId="83">'423'!$H$20:$H$27,'423'!$H$29:$H$38,'423'!$H$40,'423'!$H$42:$H$43,'423'!$H$45,'423'!$H$47,'423'!$H$49</definedName>
    <definedName name="OSRRefH22x_0" localSheetId="84">'424'!$H$20,'424'!$H$22,'424'!$H$24,'424'!$H$26</definedName>
    <definedName name="OSRRefH22x_0" localSheetId="85">'425'!$H$20:$H$24,'425'!$H$26,'425'!$H$28,'425'!$H$30,'425'!$H$32:$H$33,'425'!$H$35</definedName>
    <definedName name="OSRRefH22x_0" localSheetId="88">'430'!$H$20:$H$28,'430'!$H$30:$H$39,'430'!$H$41,'430'!$H$43,'430'!$H$45:$H$47,'430'!$H$49:$H$50,'430'!$H$52,'430'!$H$54</definedName>
    <definedName name="OSRRefH22x_0" localSheetId="89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90">'435'!$H$20</definedName>
    <definedName name="OSRRefH22x_0" localSheetId="91">'444'!$H$27:$H$36,'444'!$H$38:$H$47,'444'!$H$49,'444'!$H$51,'444'!$H$53,'444'!$H$55,'444'!$H$57,'444'!$H$59,'444'!$H$61,'444'!$H$63,'444'!$H$65,'444'!$H$67:$H$70,'444'!$H$72:$H$75,'444'!$H$77,'444'!$H$79:$H$87,'444'!$H$89:$H$90,'444'!$H$92</definedName>
    <definedName name="OSRRefH22x_0" localSheetId="93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$29:$H$37,'491'!$H$39:$H$48,'491'!$H$50,'491'!$H$52,'491'!$H$54,'491'!$H$56:$H$58,'491'!$H$60,'491'!$H$62,'491'!$H$64,'491'!$H$66,'491'!$H$68,'491'!$H$70,'491'!$H$72,'491'!$H$74:$H$77,'491'!$H$79:$H$80,'491'!$H$82:$H$86,'491'!$H$88:$H$89,'491'!$H$91:$H$101,'491'!$H$103:$H$104,'491'!$H$106,'491'!$H$108:$H$110,'491'!$H$112</definedName>
    <definedName name="OSRRefH22x_0" localSheetId="87">'492'!$H$27:$H$36,'492'!$H$38:$H$47,'492'!$H$49,'492'!$H$51,'492'!$H$53,'492'!$H$55,'492'!$H$57,'492'!$H$59,'492'!$H$61,'492'!$H$63,'492'!$H$65,'492'!$H$67,'492'!$H$69:$H$72,'492'!$H$74:$H$77,'492'!$H$79,'492'!$H$81:$H$90,'492'!$H$92:$H$93,'492'!$H$95,'492'!$H$97</definedName>
    <definedName name="OSRRefH22x_0" localSheetId="95">'501'!$H$21:$H$30,'501'!$H$32:$H$41,'501'!$H$43,'501'!$H$45,'501'!$H$47,'501'!$H$49:$H$50,'501'!$H$52,'501'!$H$54,'501'!$H$56,'501'!$H$58:$H$61,'501'!$H$63:$H$64,'501'!$H$66</definedName>
    <definedName name="OSRRefH22x_0" localSheetId="39">'Div 2'!$H$21:$H$31,'Div 2'!$H$33:$H$42,'Div 2'!$H$44,'Div 2'!$H$46,'Div 2'!$H$48,'Div 2'!$H$50:$H$51,'Div 2'!$H$53:$H$54,'Div 2'!$H$56,'Div 2'!$H$58,'Div 2'!$H$60:$H$61,'Div 2'!$H$63,'Div 2'!$H$65:$H$66,'Div 2'!$H$68:$H$71,'Div 2'!$H$73:$H$76,'Div 2'!$H$78:$H$79,'Div 2'!$H$81:$H$82,'Div 2'!$H$84:$H$88,'Div 2'!$H$90:$H$91,'Div 2'!$H$93,'Div 2'!$H$95:$H$96</definedName>
    <definedName name="OSRRefH22x_0" localSheetId="47">'Div 3'!$H$123:$H$132,'Div 3'!$H$134:$H$143,'Div 3'!$H$145,'Div 3'!$H$147:$H$148,'Div 3'!$H$150,'Div 3'!$H$152:$H$153,'Div 3'!$H$155:$H$156,'Div 3'!$H$158:$H$159,'Div 3'!$H$161,'Div 3'!$H$163,'Div 3'!$H$165:$H$166,'Div 3'!$H$168:$H$170,'Div 3'!$H$172,'Div 3'!$H$174,'Div 3'!$H$176,'Div 3'!$H$178,'Div 3'!$H$180,'Div 3'!$H$182:$H$185,'Div 3'!$H$187:$H$190,'Div 3'!$H$192:$H$196,'Div 3'!$H$198:$H$199,'Div 3'!$H$201:$H$209,'Div 3'!$H$211:$H$212,'Div 3'!$H$214,'Div 3'!$H$216:$H$218,'Div 3'!$H$220</definedName>
    <definedName name="OSRRefH22x_0" localSheetId="70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4'!$H$95:$H$96,'Div 4'!$H$98:$H$108,'Div 4'!$H$110:$H$111,'Div 4'!$H$113,'Div 4'!$H$115:$H$117,'Div 4'!$H$119</definedName>
    <definedName name="OSRRefH22x_0" localSheetId="94">'Div 5'!$H$21:$H$30,'Div 5'!$H$32:$H$41,'Div 5'!$H$43,'Div 5'!$H$45,'Div 5'!$H$47,'Div 5'!$H$49:$H$50,'Div 5'!$H$52,'Div 5'!$H$54,'Div 5'!$H$56,'Div 5'!$H$58:$H$61,'Div 5'!$H$63:$H$64,'Div 5'!$H$66</definedName>
    <definedName name="OSRRefH22x_0" localSheetId="61">'Div 6'!$H$50:$H$59,'Div 6'!$H$61:$H$70,'Div 6'!$H$72,'Div 6'!$H$74,'Div 6'!$H$76,'Div 6'!$H$78,'Div 6'!$H$80:$H$81,'Div 6'!$H$83,'Div 6'!$H$85,'Div 6'!$H$87,'Div 6'!$H$89:$H$91,'Div 6'!$H$93,'Div 6'!$H$95</definedName>
    <definedName name="OSRRefH22x_0" localSheetId="2">Summary!$H$150:$H$159,Summary!$H$161:$H$170,Summary!$H$172,Summary!$H$174:$H$175,Summary!$H$177,Summary!$H$179:$H$181,Summary!$H$183:$H$184,Summary!$H$186:$H$187,Summary!$H$189,Summary!$H$191,Summary!$H$193:$H$194,Summary!$H$196:$H$198,Summary!$H$200,Summary!$H$202,Summary!$H$204,Summary!$H$206,Summary!$H$208,Summary!$H$210,Summary!$H$212:$H$215,Summary!$H$217:$H$220,Summary!$H$222:$H$226,Summary!$H$228:$H$229,Summary!$H$231:$H$241,Summary!$H$243:$H$244,Summary!$H$246,Summary!$H$248:$H$250,Summary!$H$252</definedName>
    <definedName name="OSRRefH25x_0" localSheetId="42">'202'!$H$70:$H$72</definedName>
    <definedName name="OSRRefH25x_0" localSheetId="48">'300'!$H$216:$H$219</definedName>
    <definedName name="OSRRefH25x_0" localSheetId="49">'300 &amp; 317'!$H$238:$H$242</definedName>
    <definedName name="OSRRefH25x_0" localSheetId="50">'301'!$H$97:$H$98</definedName>
    <definedName name="OSRRefH25x_0" localSheetId="53">'308'!$H$114:$H$116</definedName>
    <definedName name="OSRRefH25x_0" localSheetId="71">'310 &amp; 491'!$H$119:$H$122</definedName>
    <definedName name="OSRRefH25x_0" localSheetId="54">'311'!$H$113:$H$115</definedName>
    <definedName name="OSRRefH25x_0" localSheetId="57">'315'!$H$145:$H$147</definedName>
    <definedName name="OSRRefH25x_0" localSheetId="60">'316'!$H$80</definedName>
    <definedName name="OSRRefH25x_0" localSheetId="62">'317'!$H$98:$H$99</definedName>
    <definedName name="OSRRefH25x_0" localSheetId="56">'331'!$H$163:$H$165</definedName>
    <definedName name="OSRRefH25x_0" localSheetId="59">'332'!$H$80</definedName>
    <definedName name="OSRRefH25x_0" localSheetId="76">'411'!$H$82:$H$83</definedName>
    <definedName name="OSRRefH25x_0" localSheetId="81">'418'!$H$83</definedName>
    <definedName name="OSRRefH25x_0" localSheetId="83">'423'!$H$52:$H$54</definedName>
    <definedName name="OSRRefH25x_0" localSheetId="86">'455'!$H$21:$H$22</definedName>
    <definedName name="OSRRefH25x_0" localSheetId="72">'491'!$H$115:$H$118</definedName>
    <definedName name="OSRRefH25x_0" localSheetId="95">'501'!$H$69</definedName>
    <definedName name="OSRRefH25x_0" localSheetId="39">'Div 2'!$H$99:$H$101</definedName>
    <definedName name="OSRRefH25x_0" localSheetId="47">'Div 3'!$H$223:$H$226</definedName>
    <definedName name="OSRRefH25x_0" localSheetId="70">'Div 4'!$H$122:$H$125</definedName>
    <definedName name="OSRRefH25x_0" localSheetId="94">'Div 5'!$H$69</definedName>
    <definedName name="OSRRefH25x_0" localSheetId="61">'Div 6'!$H$98:$H$99</definedName>
    <definedName name="OSRRefH25x_0" localSheetId="2">Summary!$H$255:$H$261</definedName>
    <definedName name="OSRRefP13x_0" localSheetId="41">'201'!$P$13</definedName>
    <definedName name="OSRRefP13x_0" localSheetId="42">'202'!$P$13</definedName>
    <definedName name="OSRRefP13x_0" localSheetId="48">'300'!$P$13:$P$76</definedName>
    <definedName name="OSRRefP13x_0" localSheetId="49">'300 &amp; 317'!$P$13:$P$90</definedName>
    <definedName name="OSRRefP13x_0" localSheetId="52">'307'!$P$13:$P$23</definedName>
    <definedName name="OSRRefP13x_0" localSheetId="53">'308'!$P$13:$P$34</definedName>
    <definedName name="OSRRefP13x_0" localSheetId="64">'309'!$P$13</definedName>
    <definedName name="OSRRefP13x_0" localSheetId="63">'310'!$P$13:$P$17</definedName>
    <definedName name="OSRRefP13x_0" localSheetId="71">'310 &amp; 491'!$P$13:$P$21</definedName>
    <definedName name="OSRRefP13x_0" localSheetId="54">'311'!$P$13:$P$33</definedName>
    <definedName name="OSRRefP13x_0" localSheetId="65">'313'!$P$13</definedName>
    <definedName name="OSRRefP13x_0" localSheetId="57">'315'!$P$13:$P$50</definedName>
    <definedName name="OSRRefP13x_0" localSheetId="60">'316'!$P$13:$P$24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'326'!$P$13:$P$33</definedName>
    <definedName name="OSRRefP13x_0" localSheetId="69">'327'!$P$13:$P$14</definedName>
    <definedName name="OSRRefP13x_0" localSheetId="51">'330'!$P$13:$P$23</definedName>
    <definedName name="OSRRefP13x_0" localSheetId="56">'331'!$P$13:$P$50</definedName>
    <definedName name="OSRRefP13x_0" localSheetId="59">'332'!$P$13:$P$24</definedName>
    <definedName name="OSRRefP13x_0" localSheetId="73">'405'!$P$13:$P$14</definedName>
    <definedName name="OSRRefP13x_0" localSheetId="77">'412'!$P$13</definedName>
    <definedName name="OSRRefP13x_0" localSheetId="78">'413'!$P$13:$P$14</definedName>
    <definedName name="OSRRefP13x_0" localSheetId="79">'414'!$P$13:$P$15</definedName>
    <definedName name="OSRRefP13x_0" localSheetId="80">'415'!$P$13:$P$16</definedName>
    <definedName name="OSRRefP13x_0" localSheetId="81">'418'!$P$13:$P$14</definedName>
    <definedName name="OSRRefP13x_0" localSheetId="82">'420'!$P$13</definedName>
    <definedName name="OSRRefP13x_0" localSheetId="89">'433'!$P$13:$P$16</definedName>
    <definedName name="OSRRefP13x_0" localSheetId="91">'444'!$P$13:$P$16</definedName>
    <definedName name="OSRRefP13x_0" localSheetId="93">'450'!$P$13:$P$14</definedName>
    <definedName name="OSRRefP13x_0" localSheetId="72">'491'!$P$13:$P$18</definedName>
    <definedName name="OSRRefP13x_0" localSheetId="87">'492'!$P$13:$P$16</definedName>
    <definedName name="OSRRefP13x_0" localSheetId="95">'501'!$P$13</definedName>
    <definedName name="OSRRefP13x_0" localSheetId="39">'Div 2'!$P$13</definedName>
    <definedName name="OSRRefP13x_0" localSheetId="47">'Div 3'!$P$13:$P$78</definedName>
    <definedName name="OSRRefP13x_0" localSheetId="70">'Div 4'!$P$13:$P$20</definedName>
    <definedName name="OSRRefP13x_0" localSheetId="94">'Div 5'!$P$13</definedName>
    <definedName name="OSRRefP13x_0" localSheetId="61">'Div 6'!$P$13:$P$30</definedName>
    <definedName name="OSRRefP13x_0" localSheetId="2">Summary!$P$13:$P$97</definedName>
    <definedName name="OSRRefP16x_0" localSheetId="48">'300'!$P$79:$P$113</definedName>
    <definedName name="OSRRefP16x_0" localSheetId="49">'300 &amp; 317'!$P$93:$P$135</definedName>
    <definedName name="OSRRefP16x_0" localSheetId="52">'307'!$P$26:$P$33</definedName>
    <definedName name="OSRRefP16x_0" localSheetId="53">'308'!$P$37:$P$51</definedName>
    <definedName name="OSRRefP16x_0" localSheetId="64">'309'!$P$16</definedName>
    <definedName name="OSRRefP16x_0" localSheetId="63">'310'!$P$20:$P$22</definedName>
    <definedName name="OSRRefP16x_0" localSheetId="71">'310 &amp; 491'!$P$24:$P$26</definedName>
    <definedName name="OSRRefP16x_0" localSheetId="54">'311'!$P$36:$P$50</definedName>
    <definedName name="OSRRefP16x_0" localSheetId="65">'313'!$P$16:$P$17</definedName>
    <definedName name="OSRRefP16x_0" localSheetId="57">'315'!$P$53:$P$74</definedName>
    <definedName name="OSRRefP16x_0" localSheetId="62">'317'!$P$33:$P$44</definedName>
    <definedName name="OSRRefP16x_0" localSheetId="66">'321'!$P$18:$P$20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'326'!$P$36:$P$41</definedName>
    <definedName name="OSRRefP16x_0" localSheetId="69">'327'!$P$17:$P$18</definedName>
    <definedName name="OSRRefP16x_0" localSheetId="51">'330'!$P$26:$P$33</definedName>
    <definedName name="OSRRefP16x_0" localSheetId="56">'331'!$P$53:$P$75</definedName>
    <definedName name="OSRRefP16x_0" localSheetId="73">'405'!$P$17:$P$18</definedName>
    <definedName name="OSRRefP16x_0" localSheetId="77">'412'!$P$16</definedName>
    <definedName name="OSRRefP16x_0" localSheetId="78">'413'!$P$17</definedName>
    <definedName name="OSRRefP16x_0" localSheetId="79">'414'!$P$18:$P$19</definedName>
    <definedName name="OSRRefP16x_0" localSheetId="80">'415'!$P$19:$P$21</definedName>
    <definedName name="OSRRefP16x_0" localSheetId="81">'418'!$P$17</definedName>
    <definedName name="OSRRefP16x_0" localSheetId="89">'433'!$P$19:$P$21</definedName>
    <definedName name="OSRRefP16x_0" localSheetId="91">'444'!$P$19:$P$21</definedName>
    <definedName name="OSRRefP16x_0" localSheetId="93">'450'!$P$17</definedName>
    <definedName name="OSRRefP16x_0" localSheetId="72">'491'!$P$21:$P$23</definedName>
    <definedName name="OSRRefP16x_0" localSheetId="87">'492'!$P$19:$P$21</definedName>
    <definedName name="OSRRefP16x_0" localSheetId="47">'Div 3'!$P$81:$P$117</definedName>
    <definedName name="OSRRefP16x_0" localSheetId="70">'Div 4'!$P$23:$P$25</definedName>
    <definedName name="OSRRefP16x_0" localSheetId="61">'Div 6'!$P$33:$P$44</definedName>
    <definedName name="OSRRefP16x_0" localSheetId="2">Summary!$P$100:$P$144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'300'!$P$119:$P$128</definedName>
    <definedName name="OSRRefP22_0x_0" localSheetId="49">'300 &amp; 317'!$P$141:$P$150</definedName>
    <definedName name="OSRRefP22_0x_0" localSheetId="50">'301'!$P$20:$P$29</definedName>
    <definedName name="OSRRefP22_0x_0" localSheetId="52">'307'!$P$39:$P$46</definedName>
    <definedName name="OSRRefP22_0x_0" localSheetId="53">'308'!$P$57:$P$66</definedName>
    <definedName name="OSRRefP22_0x_0" localSheetId="64">'309'!$P$22:$P$29</definedName>
    <definedName name="OSRRefP22_0x_0" localSheetId="63">'310'!$P$28:$P$36</definedName>
    <definedName name="OSRRefP22_0x_0" localSheetId="71">'310 &amp; 491'!$P$32:$P$40</definedName>
    <definedName name="OSRRefP22_0x_0" localSheetId="54">'311'!$P$56:$P$65</definedName>
    <definedName name="OSRRefP22_0x_0" localSheetId="65">'313'!$P$23:$P$31</definedName>
    <definedName name="OSRRefP22_0x_0" localSheetId="57">'315'!$P$80:$P$88</definedName>
    <definedName name="OSRRefP22_0x_0" localSheetId="60">'316'!$P$32:$P$40</definedName>
    <definedName name="OSRRefP22_0x_0" localSheetId="62">'317'!$P$50:$P$59</definedName>
    <definedName name="OSRRefP22_0x_0" localSheetId="66">'321'!$P$26:$P$34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'326'!$P$47:$P$55</definedName>
    <definedName name="OSRRefP22_0x_0" localSheetId="69">'327'!$P$24</definedName>
    <definedName name="OSRRefP22_0x_0" localSheetId="51">'330'!$P$39:$P$46</definedName>
    <definedName name="OSRRefP22_0x_0" localSheetId="56">'331'!$P$81:$P$89</definedName>
    <definedName name="OSRRefP22_0x_0" localSheetId="59">'332'!$P$32:$P$40</definedName>
    <definedName name="OSRRefP22_0x_0" localSheetId="73">'405'!$P$24:$P$31</definedName>
    <definedName name="OSRRefP22_0x_0" localSheetId="74">'406'!$P$20</definedName>
    <definedName name="OSRRefP22_0x_0" localSheetId="76">'411'!$P$20:$P$28</definedName>
    <definedName name="OSRRefP22_0x_0" localSheetId="77">'412'!$P$22:$P$29</definedName>
    <definedName name="OSRRefP22_0x_0" localSheetId="78">'413'!$P$23:$P$31</definedName>
    <definedName name="OSRRefP22_0x_0" localSheetId="79">'414'!$P$25:$P$33</definedName>
    <definedName name="OSRRefP22_0x_0" localSheetId="80">'415'!$P$27:$P$35</definedName>
    <definedName name="OSRRefP22_0x_0" localSheetId="81">'418'!$P$23:$P$30</definedName>
    <definedName name="OSRRefP22_0x_0" localSheetId="82">'420'!$P$21</definedName>
    <definedName name="OSRRefP22_0x_0" localSheetId="83">'423'!$P$20:$P$27</definedName>
    <definedName name="OSRRefP22_0x_0" localSheetId="84">'424'!$P$20</definedName>
    <definedName name="OSRRefP22_0x_0" localSheetId="85">'425'!$P$20:$P$24</definedName>
    <definedName name="OSRRefP22_0x_0" localSheetId="88">'430'!$P$20:$P$28</definedName>
    <definedName name="OSRRefP22_0x_0" localSheetId="89">'433'!$P$27:$P$36</definedName>
    <definedName name="OSRRefP22_0x_0" localSheetId="90">'435'!$P$20</definedName>
    <definedName name="OSRRefP22_0x_0" localSheetId="91">'444'!$P$27:$P$36</definedName>
    <definedName name="OSRRefP22_0x_0" localSheetId="93">'450'!$P$23:$P$32</definedName>
    <definedName name="OSRRefP22_0x_0" localSheetId="72">'491'!$P$29:$P$37</definedName>
    <definedName name="OSRRefP22_0x_0" localSheetId="87">'492'!$P$27:$P$36</definedName>
    <definedName name="OSRRefP22_0x_0" localSheetId="95">'501'!$P$21:$P$30</definedName>
    <definedName name="OSRRefP22_0x_0" localSheetId="39">'Div 2'!$P$21:$P$31</definedName>
    <definedName name="OSRRefP22_0x_0" localSheetId="47">'Div 3'!$P$123:$P$132</definedName>
    <definedName name="OSRRefP22_0x_0" localSheetId="70">'Div 4'!$P$31:$P$40</definedName>
    <definedName name="OSRRefP22_0x_0" localSheetId="94">'Div 5'!$P$21:$P$30</definedName>
    <definedName name="OSRRefP22_0x_0" localSheetId="61">'Div 6'!$P$50:$P$59</definedName>
    <definedName name="OSRRefP22_0x_0" localSheetId="2">Summary!$P$150:$P$159</definedName>
    <definedName name="OSRRefP22_10x_0" localSheetId="41">'201'!$P$59:$P$61</definedName>
    <definedName name="OSRRefP22_10x_0" localSheetId="42">'202'!$P$63</definedName>
    <definedName name="OSRRefP22_10x_0" localSheetId="43">'203'!$P$62</definedName>
    <definedName name="OSRRefP22_10x_0" localSheetId="44">'204'!$P$62:$P$63</definedName>
    <definedName name="OSRRefP22_10x_0" localSheetId="48">'300'!$P$161:$P$162</definedName>
    <definedName name="OSRRefP22_10x_0" localSheetId="49">'300 &amp; 317'!$P$183:$P$184</definedName>
    <definedName name="OSRRefP22_10x_0" localSheetId="50">'301'!$P$60</definedName>
    <definedName name="OSRRefP22_10x_0" localSheetId="52">'307'!$P$77:$P$78</definedName>
    <definedName name="OSRRefP22_10x_0" localSheetId="53">'308'!$P$99:$P$100</definedName>
    <definedName name="OSRRefP22_10x_0" localSheetId="64">'309'!$P$62</definedName>
    <definedName name="OSRRefP22_10x_0" localSheetId="63">'310'!$P$66</definedName>
    <definedName name="OSRRefP22_10x_0" localSheetId="71">'310 &amp; 491'!$P$72</definedName>
    <definedName name="OSRRefP22_10x_0" localSheetId="54">'311'!$P$98:$P$99</definedName>
    <definedName name="OSRRefP22_10x_0" localSheetId="65">'313'!$P$64</definedName>
    <definedName name="OSRRefP22_10x_0" localSheetId="57">'315'!$P$118</definedName>
    <definedName name="OSRRefP22_10x_0" localSheetId="60">'316'!$P$75</definedName>
    <definedName name="OSRRefP22_10x_0" localSheetId="62">'317'!$P$89:$P$91</definedName>
    <definedName name="OSRRefP22_10x_0" localSheetId="66">'321'!$P$66:$P$68</definedName>
    <definedName name="OSRRefP22_10x_0" localSheetId="67">'322'!$P$64</definedName>
    <definedName name="OSRRefP22_10x_0" localSheetId="68">'325'!$P$62</definedName>
    <definedName name="OSRRefP22_10x_0" localSheetId="58">'326'!$P$85</definedName>
    <definedName name="OSRRefP22_10x_0" localSheetId="51">'330'!$P$77:$P$78</definedName>
    <definedName name="OSRRefP22_10x_0" localSheetId="56">'331'!$P$120</definedName>
    <definedName name="OSRRefP22_10x_0" localSheetId="59">'332'!$P$75</definedName>
    <definedName name="OSRRefP22_10x_0" localSheetId="73">'405'!$P$62</definedName>
    <definedName name="OSRRefP22_10x_0" localSheetId="76">'411'!$P$60:$P$63</definedName>
    <definedName name="OSRRefP22_10x_0" localSheetId="77">'412'!$P$60:$P$63</definedName>
    <definedName name="OSRRefP22_10x_0" localSheetId="78">'413'!$P$64:$P$71</definedName>
    <definedName name="OSRRefP22_10x_0" localSheetId="79">'414'!$P$63</definedName>
    <definedName name="OSRRefP22_10x_0" localSheetId="80">'415'!$P$65</definedName>
    <definedName name="OSRRefP22_10x_0" localSheetId="81">'418'!$P$63:$P$64</definedName>
    <definedName name="OSRRefP22_10x_0" localSheetId="89">'433'!$P$65</definedName>
    <definedName name="OSRRefP22_10x_0" localSheetId="91">'444'!$P$65</definedName>
    <definedName name="OSRRefP22_10x_0" localSheetId="93">'450'!$P$61</definedName>
    <definedName name="OSRRefP22_10x_0" localSheetId="72">'491'!$P$68</definedName>
    <definedName name="OSRRefP22_10x_0" localSheetId="87">'492'!$P$65</definedName>
    <definedName name="OSRRefP22_10x_0" localSheetId="95">'501'!$P$63:$P$64</definedName>
    <definedName name="OSRRefP22_10x_0" localSheetId="39">'Div 2'!$P$63</definedName>
    <definedName name="OSRRefP22_10x_0" localSheetId="47">'Div 3'!$P$165:$P$166</definedName>
    <definedName name="OSRRefP22_10x_0" localSheetId="70">'Div 4'!$P$71</definedName>
    <definedName name="OSRRefP22_10x_0" localSheetId="94">'Div 5'!$P$63:$P$64</definedName>
    <definedName name="OSRRefP22_10x_0" localSheetId="61">'Div 6'!$P$89:$P$91</definedName>
    <definedName name="OSRRefP22_10x_0" localSheetId="2">Summary!$P$193:$P$194</definedName>
    <definedName name="OSRRefP22_11x_0" localSheetId="41">'201'!$P$63</definedName>
    <definedName name="OSRRefP22_11x_0" localSheetId="42">'202'!$P$65</definedName>
    <definedName name="OSRRefP22_11x_0" localSheetId="43">'203'!$P$64:$P$66</definedName>
    <definedName name="OSRRefP22_11x_0" localSheetId="44">'204'!$P$65</definedName>
    <definedName name="OSRRefP22_11x_0" localSheetId="48">'300'!$P$164:$P$166</definedName>
    <definedName name="OSRRefP22_11x_0" localSheetId="49">'300 &amp; 317'!$P$186:$P$188</definedName>
    <definedName name="OSRRefP22_11x_0" localSheetId="50">'301'!$P$62</definedName>
    <definedName name="OSRRefP22_11x_0" localSheetId="52">'307'!$P$80:$P$83</definedName>
    <definedName name="OSRRefP22_11x_0" localSheetId="53">'308'!$P$102:$P$104</definedName>
    <definedName name="OSRRefP22_11x_0" localSheetId="63">'310'!$P$68</definedName>
    <definedName name="OSRRefP22_11x_0" localSheetId="71">'310 &amp; 491'!$P$74</definedName>
    <definedName name="OSRRefP22_11x_0" localSheetId="54">'311'!$P$101:$P$103</definedName>
    <definedName name="OSRRefP22_11x_0" localSheetId="65">'313'!$P$66</definedName>
    <definedName name="OSRRefP22_11x_0" localSheetId="57">'315'!$P$120</definedName>
    <definedName name="OSRRefP22_11x_0" localSheetId="60">'316'!$P$77</definedName>
    <definedName name="OSRRefP22_11x_0" localSheetId="62">'317'!$P$93</definedName>
    <definedName name="OSRRefP22_11x_0" localSheetId="66">'321'!$P$70:$P$71</definedName>
    <definedName name="OSRRefP22_11x_0" localSheetId="67">'322'!$P$66</definedName>
    <definedName name="OSRRefP22_11x_0" localSheetId="68">'325'!$P$64:$P$67</definedName>
    <definedName name="OSRRefP22_11x_0" localSheetId="58">'326'!$P$87</definedName>
    <definedName name="OSRRefP22_11x_0" localSheetId="51">'330'!$P$80:$P$83</definedName>
    <definedName name="OSRRefP22_11x_0" localSheetId="56">'331'!$P$122</definedName>
    <definedName name="OSRRefP22_11x_0" localSheetId="59">'332'!$P$77</definedName>
    <definedName name="OSRRefP22_11x_0" localSheetId="73">'405'!$P$64:$P$67</definedName>
    <definedName name="OSRRefP22_11x_0" localSheetId="76">'411'!$P$65</definedName>
    <definedName name="OSRRefP22_11x_0" localSheetId="77">'412'!$P$65:$P$69</definedName>
    <definedName name="OSRRefP22_11x_0" localSheetId="78">'413'!$P$73:$P$74</definedName>
    <definedName name="OSRRefP22_11x_0" localSheetId="79">'414'!$P$65</definedName>
    <definedName name="OSRRefP22_11x_0" localSheetId="80">'415'!$P$67:$P$68</definedName>
    <definedName name="OSRRefP22_11x_0" localSheetId="81">'418'!$P$66:$P$75</definedName>
    <definedName name="OSRRefP22_11x_0" localSheetId="89">'433'!$P$67:$P$69</definedName>
    <definedName name="OSRRefP22_11x_0" localSheetId="91">'444'!$P$67:$P$70</definedName>
    <definedName name="OSRRefP22_11x_0" localSheetId="93">'450'!$P$63</definedName>
    <definedName name="OSRRefP22_11x_0" localSheetId="72">'491'!$P$70</definedName>
    <definedName name="OSRRefP22_11x_0" localSheetId="87">'492'!$P$67</definedName>
    <definedName name="OSRRefP22_11x_0" localSheetId="95">'501'!$P$66</definedName>
    <definedName name="OSRRefP22_11x_0" localSheetId="39">'Div 2'!$P$65:$P$66</definedName>
    <definedName name="OSRRefP22_11x_0" localSheetId="47">'Div 3'!$P$168:$P$170</definedName>
    <definedName name="OSRRefP22_11x_0" localSheetId="70">'Div 4'!$P$73</definedName>
    <definedName name="OSRRefP22_11x_0" localSheetId="94">'Div 5'!$P$66</definedName>
    <definedName name="OSRRefP22_11x_0" localSheetId="61">'Div 6'!$P$93</definedName>
    <definedName name="OSRRefP22_11x_0" localSheetId="2">Summary!$P$196:$P$198</definedName>
    <definedName name="OSRRefP22_12x_0" localSheetId="41">'201'!$P$65</definedName>
    <definedName name="OSRRefP22_12x_0" localSheetId="42">'202'!$P$67</definedName>
    <definedName name="OSRRefP22_12x_0" localSheetId="43">'203'!$P$68</definedName>
    <definedName name="OSRRefP22_12x_0" localSheetId="44">'204'!$P$67</definedName>
    <definedName name="OSRRefP22_12x_0" localSheetId="48">'300'!$P$168</definedName>
    <definedName name="OSRRefP22_12x_0" localSheetId="49">'300 &amp; 317'!$P$190</definedName>
    <definedName name="OSRRefP22_12x_0" localSheetId="50">'301'!$P$64</definedName>
    <definedName name="OSRRefP22_12x_0" localSheetId="52">'307'!$P$85:$P$86</definedName>
    <definedName name="OSRRefP22_12x_0" localSheetId="53">'308'!$P$106:$P$107</definedName>
    <definedName name="OSRRefP22_12x_0" localSheetId="63">'310'!$P$70</definedName>
    <definedName name="OSRRefP22_12x_0" localSheetId="71">'310 &amp; 491'!$P$76</definedName>
    <definedName name="OSRRefP22_12x_0" localSheetId="54">'311'!$P$105:$P$106</definedName>
    <definedName name="OSRRefP22_12x_0" localSheetId="57">'315'!$P$122:$P$124</definedName>
    <definedName name="OSRRefP22_12x_0" localSheetId="62">'317'!$P$95</definedName>
    <definedName name="OSRRefP22_12x_0" localSheetId="66">'321'!$P$73</definedName>
    <definedName name="OSRRefP22_12x_0" localSheetId="68">'325'!$P$69:$P$71</definedName>
    <definedName name="OSRRefP22_12x_0" localSheetId="58">'326'!$P$89</definedName>
    <definedName name="OSRRefP22_12x_0" localSheetId="51">'330'!$P$85:$P$86</definedName>
    <definedName name="OSRRefP22_12x_0" localSheetId="56">'331'!$P$124</definedName>
    <definedName name="OSRRefP22_12x_0" localSheetId="73">'405'!$P$69</definedName>
    <definedName name="OSRRefP22_12x_0" localSheetId="76">'411'!$P$67:$P$73</definedName>
    <definedName name="OSRRefP22_12x_0" localSheetId="77">'412'!$P$71:$P$72</definedName>
    <definedName name="OSRRefP22_12x_0" localSheetId="78">'413'!$P$76</definedName>
    <definedName name="OSRRefP22_12x_0" localSheetId="79">'414'!$P$67:$P$69</definedName>
    <definedName name="OSRRefP22_12x_0" localSheetId="80">'415'!$P$70:$P$74</definedName>
    <definedName name="OSRRefP22_12x_0" localSheetId="81">'418'!$P$77:$P$78</definedName>
    <definedName name="OSRRefP22_12x_0" localSheetId="89">'433'!$P$71:$P$74</definedName>
    <definedName name="OSRRefP22_12x_0" localSheetId="91">'444'!$P$72:$P$75</definedName>
    <definedName name="OSRRefP22_12x_0" localSheetId="93">'450'!$P$65</definedName>
    <definedName name="OSRRefP22_12x_0" localSheetId="72">'491'!$P$72</definedName>
    <definedName name="OSRRefP22_12x_0" localSheetId="87">'492'!$P$69:$P$72</definedName>
    <definedName name="OSRRefP22_12x_0" localSheetId="39">'Div 2'!$P$68:$P$71</definedName>
    <definedName name="OSRRefP22_12x_0" localSheetId="47">'Div 3'!$P$172</definedName>
    <definedName name="OSRRefP22_12x_0" localSheetId="70">'Div 4'!$P$75</definedName>
    <definedName name="OSRRefP22_12x_0" localSheetId="61">'Div 6'!$P$95</definedName>
    <definedName name="OSRRefP22_12x_0" localSheetId="2">Summary!$P$200</definedName>
    <definedName name="OSRRefP22_13x_0" localSheetId="41">'201'!$P$67:$P$69</definedName>
    <definedName name="OSRRefP22_13x_0" localSheetId="43">'203'!$P$70</definedName>
    <definedName name="OSRRefP22_13x_0" localSheetId="48">'300'!$P$170</definedName>
    <definedName name="OSRRefP22_13x_0" localSheetId="49">'300 &amp; 317'!$P$192</definedName>
    <definedName name="OSRRefP22_13x_0" localSheetId="50">'301'!$P$66</definedName>
    <definedName name="OSRRefP22_13x_0" localSheetId="52">'307'!$P$88</definedName>
    <definedName name="OSRRefP22_13x_0" localSheetId="53">'308'!$P$109</definedName>
    <definedName name="OSRRefP22_13x_0" localSheetId="63">'310'!$P$72:$P$75</definedName>
    <definedName name="OSRRefP22_13x_0" localSheetId="71">'310 &amp; 491'!$P$78:$P$81</definedName>
    <definedName name="OSRRefP22_13x_0" localSheetId="54">'311'!$P$108</definedName>
    <definedName name="OSRRefP22_13x_0" localSheetId="57">'315'!$P$126:$P$127</definedName>
    <definedName name="OSRRefP22_13x_0" localSheetId="66">'321'!$P$75</definedName>
    <definedName name="OSRRefP22_13x_0" localSheetId="68">'325'!$P$73</definedName>
    <definedName name="OSRRefP22_13x_0" localSheetId="58">'326'!$P$91:$P$93</definedName>
    <definedName name="OSRRefP22_13x_0" localSheetId="51">'330'!$P$88</definedName>
    <definedName name="OSRRefP22_13x_0" localSheetId="56">'331'!$P$126</definedName>
    <definedName name="OSRRefP22_13x_0" localSheetId="73">'405'!$P$71:$P$79</definedName>
    <definedName name="OSRRefP22_13x_0" localSheetId="76">'411'!$P$75</definedName>
    <definedName name="OSRRefP22_13x_0" localSheetId="77">'412'!$P$74</definedName>
    <definedName name="OSRRefP22_13x_0" localSheetId="79">'414'!$P$71</definedName>
    <definedName name="OSRRefP22_13x_0" localSheetId="80">'415'!$P$76</definedName>
    <definedName name="OSRRefP22_13x_0" localSheetId="81">'418'!$P$80</definedName>
    <definedName name="OSRRefP22_13x_0" localSheetId="89">'433'!$P$76:$P$83</definedName>
    <definedName name="OSRRefP22_13x_0" localSheetId="91">'444'!$P$77</definedName>
    <definedName name="OSRRefP22_13x_0" localSheetId="93">'450'!$P$67:$P$69</definedName>
    <definedName name="OSRRefP22_13x_0" localSheetId="72">'491'!$P$74:$P$77</definedName>
    <definedName name="OSRRefP22_13x_0" localSheetId="87">'492'!$P$74:$P$77</definedName>
    <definedName name="OSRRefP22_13x_0" localSheetId="39">'Div 2'!$P$73:$P$76</definedName>
    <definedName name="OSRRefP22_13x_0" localSheetId="47">'Div 3'!$P$174</definedName>
    <definedName name="OSRRefP22_13x_0" localSheetId="70">'Div 4'!$P$77</definedName>
    <definedName name="OSRRefP22_13x_0" localSheetId="2">Summary!$P$202</definedName>
    <definedName name="OSRRefP22_14x_0" localSheetId="41">'201'!$P$71</definedName>
    <definedName name="OSRRefP22_14x_0" localSheetId="43">'203'!$P$72</definedName>
    <definedName name="OSRRefP22_14x_0" localSheetId="48">'300'!$P$172</definedName>
    <definedName name="OSRRefP22_14x_0" localSheetId="49">'300 &amp; 317'!$P$194</definedName>
    <definedName name="OSRRefP22_14x_0" localSheetId="50">'301'!$P$68:$P$71</definedName>
    <definedName name="OSRRefP22_14x_0" localSheetId="53">'308'!$P$111</definedName>
    <definedName name="OSRRefP22_14x_0" localSheetId="63">'310'!$P$77:$P$78</definedName>
    <definedName name="OSRRefP22_14x_0" localSheetId="71">'310 &amp; 491'!$P$83:$P$84</definedName>
    <definedName name="OSRRefP22_14x_0" localSheetId="54">'311'!$P$110</definedName>
    <definedName name="OSRRefP22_14x_0" localSheetId="57">'315'!$P$129:$P$135</definedName>
    <definedName name="OSRRefP22_14x_0" localSheetId="68">'325'!$P$75:$P$79</definedName>
    <definedName name="OSRRefP22_14x_0" localSheetId="58">'326'!$P$95:$P$97</definedName>
    <definedName name="OSRRefP22_14x_0" localSheetId="56">'331'!$P$128:$P$130</definedName>
    <definedName name="OSRRefP22_14x_0" localSheetId="73">'405'!$P$81</definedName>
    <definedName name="OSRRefP22_14x_0" localSheetId="76">'411'!$P$77</definedName>
    <definedName name="OSRRefP22_14x_0" localSheetId="79">'414'!$P$73</definedName>
    <definedName name="OSRRefP22_14x_0" localSheetId="80">'415'!$P$78:$P$85</definedName>
    <definedName name="OSRRefP22_14x_0" localSheetId="89">'433'!$P$85</definedName>
    <definedName name="OSRRefP22_14x_0" localSheetId="91">'444'!$P$79:$P$87</definedName>
    <definedName name="OSRRefP22_14x_0" localSheetId="93">'450'!$P$71:$P$77</definedName>
    <definedName name="OSRRefP22_14x_0" localSheetId="72">'491'!$P$79:$P$80</definedName>
    <definedName name="OSRRefP22_14x_0" localSheetId="87">'492'!$P$79</definedName>
    <definedName name="OSRRefP22_14x_0" localSheetId="39">'Div 2'!$P$78:$P$79</definedName>
    <definedName name="OSRRefP22_14x_0" localSheetId="47">'Div 3'!$P$176</definedName>
    <definedName name="OSRRefP22_14x_0" localSheetId="70">'Div 4'!$P$79</definedName>
    <definedName name="OSRRefP22_14x_0" localSheetId="2">Summary!$P$204</definedName>
    <definedName name="OSRRefP22_15x_0" localSheetId="41">'201'!$P$73</definedName>
    <definedName name="OSRRefP22_15x_0" localSheetId="48">'300'!$P$174</definedName>
    <definedName name="OSRRefP22_15x_0" localSheetId="49">'300 &amp; 317'!$P$196</definedName>
    <definedName name="OSRRefP22_15x_0" localSheetId="50">'301'!$P$73:$P$75</definedName>
    <definedName name="OSRRefP22_15x_0" localSheetId="63">'310'!$P$80:$P$83</definedName>
    <definedName name="OSRRefP22_15x_0" localSheetId="71">'310 &amp; 491'!$P$86:$P$90</definedName>
    <definedName name="OSRRefP22_15x_0" localSheetId="57">'315'!$P$137</definedName>
    <definedName name="OSRRefP22_15x_0" localSheetId="68">'325'!$P$81:$P$82</definedName>
    <definedName name="OSRRefP22_15x_0" localSheetId="58">'326'!$P$99:$P$100</definedName>
    <definedName name="OSRRefP22_15x_0" localSheetId="56">'331'!$P$132:$P$134</definedName>
    <definedName name="OSRRefP22_15x_0" localSheetId="73">'405'!$P$83</definedName>
    <definedName name="OSRRefP22_15x_0" localSheetId="76">'411'!$P$79</definedName>
    <definedName name="OSRRefP22_15x_0" localSheetId="79">'414'!$P$75</definedName>
    <definedName name="OSRRefP22_15x_0" localSheetId="80">'415'!$P$87:$P$88</definedName>
    <definedName name="OSRRefP22_15x_0" localSheetId="89">'433'!$P$87</definedName>
    <definedName name="OSRRefP22_15x_0" localSheetId="91">'444'!$P$89:$P$90</definedName>
    <definedName name="OSRRefP22_15x_0" localSheetId="93">'450'!$P$79:$P$80</definedName>
    <definedName name="OSRRefP22_15x_0" localSheetId="72">'491'!$P$82:$P$86</definedName>
    <definedName name="OSRRefP22_15x_0" localSheetId="87">'492'!$P$81:$P$90</definedName>
    <definedName name="OSRRefP22_15x_0" localSheetId="39">'Div 2'!$P$81:$P$82</definedName>
    <definedName name="OSRRefP22_15x_0" localSheetId="47">'Div 3'!$P$178</definedName>
    <definedName name="OSRRefP22_15x_0" localSheetId="70">'Div 4'!$P$81:$P$84</definedName>
    <definedName name="OSRRefP22_15x_0" localSheetId="2">Summary!$P$206</definedName>
    <definedName name="OSRRefP22_16x_0" localSheetId="41">'201'!$P$75</definedName>
    <definedName name="OSRRefP22_16x_0" localSheetId="48">'300'!$P$176:$P$179</definedName>
    <definedName name="OSRRefP22_16x_0" localSheetId="49">'300 &amp; 317'!$P$198:$P$201</definedName>
    <definedName name="OSRRefP22_16x_0" localSheetId="50">'301'!$P$77</definedName>
    <definedName name="OSRRefP22_16x_0" localSheetId="63">'310'!$P$85</definedName>
    <definedName name="OSRRefP22_16x_0" localSheetId="71">'310 &amp; 491'!$P$92:$P$93</definedName>
    <definedName name="OSRRefP22_16x_0" localSheetId="57">'315'!$P$139</definedName>
    <definedName name="OSRRefP22_16x_0" localSheetId="68">'325'!$P$84</definedName>
    <definedName name="OSRRefP22_16x_0" localSheetId="58">'326'!$P$102:$P$107</definedName>
    <definedName name="OSRRefP22_16x_0" localSheetId="56">'331'!$P$136:$P$138</definedName>
    <definedName name="OSRRefP22_16x_0" localSheetId="73">'405'!$P$85</definedName>
    <definedName name="OSRRefP22_16x_0" localSheetId="80">'415'!$P$90</definedName>
    <definedName name="OSRRefP22_16x_0" localSheetId="91">'444'!$P$92</definedName>
    <definedName name="OSRRefP22_16x_0" localSheetId="93">'450'!$P$82</definedName>
    <definedName name="OSRRefP22_16x_0" localSheetId="72">'491'!$P$88:$P$89</definedName>
    <definedName name="OSRRefP22_16x_0" localSheetId="87">'492'!$P$92:$P$93</definedName>
    <definedName name="OSRRefP22_16x_0" localSheetId="39">'Div 2'!$P$84:$P$88</definedName>
    <definedName name="OSRRefP22_16x_0" localSheetId="47">'Div 3'!$P$180</definedName>
    <definedName name="OSRRefP22_16x_0" localSheetId="70">'Div 4'!$P$86:$P$87</definedName>
    <definedName name="OSRRefP22_16x_0" localSheetId="2">Summary!$P$208</definedName>
    <definedName name="OSRRefP22_17x_0" localSheetId="48">'300'!$P$181:$P$184</definedName>
    <definedName name="OSRRefP22_17x_0" localSheetId="49">'300 &amp; 317'!$P$203:$P$206</definedName>
    <definedName name="OSRRefP22_17x_0" localSheetId="50">'301'!$P$79:$P$85</definedName>
    <definedName name="OSRRefP22_17x_0" localSheetId="63">'310'!$P$87:$P$93</definedName>
    <definedName name="OSRRefP22_17x_0" localSheetId="71">'310 &amp; 491'!$P$95:$P$105</definedName>
    <definedName name="OSRRefP22_17x_0" localSheetId="57">'315'!$P$141:$P$142</definedName>
    <definedName name="OSRRefP22_17x_0" localSheetId="68">'325'!$P$86</definedName>
    <definedName name="OSRRefP22_17x_0" localSheetId="58">'326'!$P$109:$P$110</definedName>
    <definedName name="OSRRefP22_17x_0" localSheetId="56">'331'!$P$140:$P$141</definedName>
    <definedName name="OSRRefP22_17x_0" localSheetId="73">'405'!$P$87</definedName>
    <definedName name="OSRRefP22_17x_0" localSheetId="80">'415'!$P$92:$P$93</definedName>
    <definedName name="OSRRefP22_17x_0" localSheetId="72">'491'!$P$91:$P$101</definedName>
    <definedName name="OSRRefP22_17x_0" localSheetId="87">'492'!$P$95</definedName>
    <definedName name="OSRRefP22_17x_0" localSheetId="39">'Div 2'!$P$90:$P$91</definedName>
    <definedName name="OSRRefP22_17x_0" localSheetId="47">'Div 3'!$P$182:$P$185</definedName>
    <definedName name="OSRRefP22_17x_0" localSheetId="70">'Div 4'!$P$89:$P$93</definedName>
    <definedName name="OSRRefP22_17x_0" localSheetId="2">Summary!$P$210</definedName>
    <definedName name="OSRRefP22_18x_0" localSheetId="48">'300'!$P$186:$P$189</definedName>
    <definedName name="OSRRefP22_18x_0" localSheetId="49">'300 &amp; 317'!$P$208:$P$211</definedName>
    <definedName name="OSRRefP22_18x_0" localSheetId="50">'301'!$P$87</definedName>
    <definedName name="OSRRefP22_18x_0" localSheetId="63">'310'!$P$95:$P$96</definedName>
    <definedName name="OSRRefP22_18x_0" localSheetId="71">'310 &amp; 491'!$P$107:$P$108</definedName>
    <definedName name="OSRRefP22_18x_0" localSheetId="58">'326'!$P$112</definedName>
    <definedName name="OSRRefP22_18x_0" localSheetId="56">'331'!$P$143:$P$150</definedName>
    <definedName name="OSRRefP22_18x_0" localSheetId="80">'415'!$P$95</definedName>
    <definedName name="OSRRefP22_18x_0" localSheetId="72">'491'!$P$103:$P$104</definedName>
    <definedName name="OSRRefP22_18x_0" localSheetId="87">'492'!$P$97</definedName>
    <definedName name="OSRRefP22_18x_0" localSheetId="39">'Div 2'!$P$93</definedName>
    <definedName name="OSRRefP22_18x_0" localSheetId="47">'Div 3'!$P$187:$P$190</definedName>
    <definedName name="OSRRefP22_18x_0" localSheetId="70">'Div 4'!$P$95:$P$96</definedName>
    <definedName name="OSRRefP22_18x_0" localSheetId="2">Summary!$P$212:$P$215</definedName>
    <definedName name="OSRRefP22_19x_0" localSheetId="48">'300'!$P$191:$P$192</definedName>
    <definedName name="OSRRefP22_19x_0" localSheetId="49">'300 &amp; 317'!$P$213:$P$214</definedName>
    <definedName name="OSRRefP22_19x_0" localSheetId="50">'301'!$P$89</definedName>
    <definedName name="OSRRefP22_19x_0" localSheetId="63">'310'!$P$98</definedName>
    <definedName name="OSRRefP22_19x_0" localSheetId="71">'310 &amp; 491'!$P$110</definedName>
    <definedName name="OSRRefP22_19x_0" localSheetId="58">'326'!$P$114:$P$115</definedName>
    <definedName name="OSRRefP22_19x_0" localSheetId="56">'331'!$P$152:$P$153</definedName>
    <definedName name="OSRRefP22_19x_0" localSheetId="72">'491'!$P$106</definedName>
    <definedName name="OSRRefP22_19x_0" localSheetId="39">'Div 2'!$P$95:$P$96</definedName>
    <definedName name="OSRRefP22_19x_0" localSheetId="47">'Div 3'!$P$192:$P$196</definedName>
    <definedName name="OSRRefP22_19x_0" localSheetId="70">'Div 4'!$P$98:$P$108</definedName>
    <definedName name="OSRRefP22_19x_0" localSheetId="2">Summary!$P$217:$P$220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'300'!$P$130:$P$139</definedName>
    <definedName name="OSRRefP22_1x_0" localSheetId="49">'300 &amp; 317'!$P$152:$P$161</definedName>
    <definedName name="OSRRefP22_1x_0" localSheetId="50">'301'!$P$31:$P$40</definedName>
    <definedName name="OSRRefP22_1x_0" localSheetId="52">'307'!$P$48:$P$57</definedName>
    <definedName name="OSRRefP22_1x_0" localSheetId="53">'308'!$P$68:$P$77</definedName>
    <definedName name="OSRRefP22_1x_0" localSheetId="64">'309'!$P$31:$P$40</definedName>
    <definedName name="OSRRefP22_1x_0" localSheetId="63">'310'!$P$38:$P$47</definedName>
    <definedName name="OSRRefP22_1x_0" localSheetId="71">'310 &amp; 491'!$P$42:$P$51</definedName>
    <definedName name="OSRRefP22_1x_0" localSheetId="54">'311'!$P$67:$P$76</definedName>
    <definedName name="OSRRefP22_1x_0" localSheetId="65">'313'!$P$33:$P$42</definedName>
    <definedName name="OSRRefP22_1x_0" localSheetId="57">'315'!$P$90:$P$99</definedName>
    <definedName name="OSRRefP22_1x_0" localSheetId="60">'316'!$P$42:$P$51</definedName>
    <definedName name="OSRRefP22_1x_0" localSheetId="62">'317'!$P$61:$P$70</definedName>
    <definedName name="OSRRefP22_1x_0" localSheetId="66">'321'!$P$36:$P$45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'326'!$P$57:$P$66</definedName>
    <definedName name="OSRRefP22_1x_0" localSheetId="51">'330'!$P$48:$P$57</definedName>
    <definedName name="OSRRefP22_1x_0" localSheetId="56">'331'!$P$91:$P$100</definedName>
    <definedName name="OSRRefP22_1x_0" localSheetId="59">'332'!$P$42:$P$51</definedName>
    <definedName name="OSRRefP22_1x_0" localSheetId="73">'405'!$P$33:$P$42</definedName>
    <definedName name="OSRRefP22_1x_0" localSheetId="74">'406'!$P$22</definedName>
    <definedName name="OSRRefP22_1x_0" localSheetId="76">'411'!$P$30:$P$39</definedName>
    <definedName name="OSRRefP22_1x_0" localSheetId="77">'412'!$P$31:$P$40</definedName>
    <definedName name="OSRRefP22_1x_0" localSheetId="78">'413'!$P$33:$P$42</definedName>
    <definedName name="OSRRefP22_1x_0" localSheetId="79">'414'!$P$35:$P$44</definedName>
    <definedName name="OSRRefP22_1x_0" localSheetId="80">'415'!$P$37:$P$46</definedName>
    <definedName name="OSRRefP22_1x_0" localSheetId="81">'418'!$P$32:$P$41</definedName>
    <definedName name="OSRRefP22_1x_0" localSheetId="83">'423'!$P$29:$P$38</definedName>
    <definedName name="OSRRefP22_1x_0" localSheetId="84">'424'!$P$22</definedName>
    <definedName name="OSRRefP22_1x_0" localSheetId="85">'425'!$P$26</definedName>
    <definedName name="OSRRefP22_1x_0" localSheetId="88">'430'!$P$30:$P$39</definedName>
    <definedName name="OSRRefP22_1x_0" localSheetId="89">'433'!$P$38:$P$47</definedName>
    <definedName name="OSRRefP22_1x_0" localSheetId="91">'444'!$P$38:$P$47</definedName>
    <definedName name="OSRRefP22_1x_0" localSheetId="93">'450'!$P$34:$P$43</definedName>
    <definedName name="OSRRefP22_1x_0" localSheetId="72">'491'!$P$39:$P$48</definedName>
    <definedName name="OSRRefP22_1x_0" localSheetId="87">'492'!$P$38:$P$47</definedName>
    <definedName name="OSRRefP22_1x_0" localSheetId="95">'501'!$P$32:$P$41</definedName>
    <definedName name="OSRRefP22_1x_0" localSheetId="39">'Div 2'!$P$33:$P$42</definedName>
    <definedName name="OSRRefP22_1x_0" localSheetId="47">'Div 3'!$P$134:$P$143</definedName>
    <definedName name="OSRRefP22_1x_0" localSheetId="70">'Div 4'!$P$42:$P$51</definedName>
    <definedName name="OSRRefP22_1x_0" localSheetId="94">'Div 5'!$P$32:$P$41</definedName>
    <definedName name="OSRRefP22_1x_0" localSheetId="61">'Div 6'!$P$61:$P$70</definedName>
    <definedName name="OSRRefP22_1x_0" localSheetId="2">Summary!$P$161:$P$170</definedName>
    <definedName name="OSRRefP22_20x_0" localSheetId="48">'300'!$P$194:$P$202</definedName>
    <definedName name="OSRRefP22_20x_0" localSheetId="49">'300 &amp; 317'!$P$216:$P$224</definedName>
    <definedName name="OSRRefP22_20x_0" localSheetId="50">'301'!$P$91:$P$92</definedName>
    <definedName name="OSRRefP22_20x_0" localSheetId="63">'310'!$P$100</definedName>
    <definedName name="OSRRefP22_20x_0" localSheetId="71">'310 &amp; 491'!$P$112:$P$114</definedName>
    <definedName name="OSRRefP22_20x_0" localSheetId="58">'326'!$P$117</definedName>
    <definedName name="OSRRefP22_20x_0" localSheetId="56">'331'!$P$155</definedName>
    <definedName name="OSRRefP22_20x_0" localSheetId="72">'491'!$P$108:$P$110</definedName>
    <definedName name="OSRRefP22_20x_0" localSheetId="47">'Div 3'!$P$198:$P$199</definedName>
    <definedName name="OSRRefP22_20x_0" localSheetId="70">'Div 4'!$P$110:$P$111</definedName>
    <definedName name="OSRRefP22_20x_0" localSheetId="2">Summary!$P$222:$P$226</definedName>
    <definedName name="OSRRefP22_21x_0" localSheetId="48">'300'!$P$204:$P$205</definedName>
    <definedName name="OSRRefP22_21x_0" localSheetId="49">'300 &amp; 317'!$P$226:$P$227</definedName>
    <definedName name="OSRRefP22_21x_0" localSheetId="50">'301'!$P$94</definedName>
    <definedName name="OSRRefP22_21x_0" localSheetId="63">'310'!$P$102</definedName>
    <definedName name="OSRRefP22_21x_0" localSheetId="71">'310 &amp; 491'!$P$116</definedName>
    <definedName name="OSRRefP22_21x_0" localSheetId="56">'331'!$P$157:$P$158</definedName>
    <definedName name="OSRRefP22_21x_0" localSheetId="72">'491'!$P$112</definedName>
    <definedName name="OSRRefP22_21x_0" localSheetId="47">'Div 3'!$P$201:$P$209</definedName>
    <definedName name="OSRRefP22_21x_0" localSheetId="70">'Div 4'!$P$113</definedName>
    <definedName name="OSRRefP22_21x_0" localSheetId="2">Summary!$P$228:$P$229</definedName>
    <definedName name="OSRRefP22_22x_0" localSheetId="48">'300'!$P$207</definedName>
    <definedName name="OSRRefP22_22x_0" localSheetId="49">'300 &amp; 317'!$P$229</definedName>
    <definedName name="OSRRefP22_22x_0" localSheetId="56">'331'!$P$160</definedName>
    <definedName name="OSRRefP22_22x_0" localSheetId="47">'Div 3'!$P$211:$P$212</definedName>
    <definedName name="OSRRefP22_22x_0" localSheetId="70">'Div 4'!$P$115:$P$117</definedName>
    <definedName name="OSRRefP22_22x_0" localSheetId="2">Summary!$P$231:$P$241</definedName>
    <definedName name="OSRRefP22_23x_0" localSheetId="48">'300'!$P$209:$P$211</definedName>
    <definedName name="OSRRefP22_23x_0" localSheetId="49">'300 &amp; 317'!$P$231:$P$233</definedName>
    <definedName name="OSRRefP22_23x_0" localSheetId="47">'Div 3'!$P$214</definedName>
    <definedName name="OSRRefP22_23x_0" localSheetId="70">'Div 4'!$P$119</definedName>
    <definedName name="OSRRefP22_23x_0" localSheetId="2">Summary!$P$243:$P$244</definedName>
    <definedName name="OSRRefP22_24x_0" localSheetId="48">'300'!$P$213</definedName>
    <definedName name="OSRRefP22_24x_0" localSheetId="49">'300 &amp; 317'!$P$235</definedName>
    <definedName name="OSRRefP22_24x_0" localSheetId="47">'Div 3'!$P$216:$P$218</definedName>
    <definedName name="OSRRefP22_24x_0" localSheetId="2">Summary!$P$246</definedName>
    <definedName name="OSRRefP22_25x_0" localSheetId="47">'Div 3'!$P$220</definedName>
    <definedName name="OSRRefP22_25x_0" localSheetId="2">Summary!$P$248:$P$250</definedName>
    <definedName name="OSRRefP22_26x_0" localSheetId="2">Summary!$P$252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'300'!$P$141</definedName>
    <definedName name="OSRRefP22_2x_0" localSheetId="49">'300 &amp; 317'!$P$163</definedName>
    <definedName name="OSRRefP22_2x_0" localSheetId="50">'301'!$P$42</definedName>
    <definedName name="OSRRefP22_2x_0" localSheetId="52">'307'!$P$59</definedName>
    <definedName name="OSRRefP22_2x_0" localSheetId="53">'308'!$P$79</definedName>
    <definedName name="OSRRefP22_2x_0" localSheetId="64">'309'!$P$42</definedName>
    <definedName name="OSRRefP22_2x_0" localSheetId="63">'310'!$P$49</definedName>
    <definedName name="OSRRefP22_2x_0" localSheetId="71">'310 &amp; 491'!$P$53</definedName>
    <definedName name="OSRRefP22_2x_0" localSheetId="54">'311'!$P$78</definedName>
    <definedName name="OSRRefP22_2x_0" localSheetId="65">'313'!$P$44</definedName>
    <definedName name="OSRRefP22_2x_0" localSheetId="57">'315'!$P$101</definedName>
    <definedName name="OSRRefP22_2x_0" localSheetId="60">'316'!$P$53</definedName>
    <definedName name="OSRRefP22_2x_0" localSheetId="62">'317'!$P$72</definedName>
    <definedName name="OSRRefP22_2x_0" localSheetId="66">'321'!$P$47</definedName>
    <definedName name="OSRRefP22_2x_0" localSheetId="67">'322'!$P$43</definedName>
    <definedName name="OSRRefP22_2x_0" localSheetId="68">'325'!$P$45</definedName>
    <definedName name="OSRRefP22_2x_0" localSheetId="58">'326'!$P$68</definedName>
    <definedName name="OSRRefP22_2x_0" localSheetId="51">'330'!$P$59</definedName>
    <definedName name="OSRRefP22_2x_0" localSheetId="56">'331'!$P$102</definedName>
    <definedName name="OSRRefP22_2x_0" localSheetId="59">'332'!$P$53</definedName>
    <definedName name="OSRRefP22_2x_0" localSheetId="73">'405'!$P$44</definedName>
    <definedName name="OSRRefP22_2x_0" localSheetId="74">'406'!$P$24</definedName>
    <definedName name="OSRRefP22_2x_0" localSheetId="76">'411'!$P$41</definedName>
    <definedName name="OSRRefP22_2x_0" localSheetId="77">'412'!$P$42</definedName>
    <definedName name="OSRRefP22_2x_0" localSheetId="78">'413'!$P$44</definedName>
    <definedName name="OSRRefP22_2x_0" localSheetId="79">'414'!$P$46</definedName>
    <definedName name="OSRRefP22_2x_0" localSheetId="80">'415'!$P$48</definedName>
    <definedName name="OSRRefP22_2x_0" localSheetId="81">'418'!$P$43</definedName>
    <definedName name="OSRRefP22_2x_0" localSheetId="83">'423'!$P$40</definedName>
    <definedName name="OSRRefP22_2x_0" localSheetId="84">'424'!$P$24</definedName>
    <definedName name="OSRRefP22_2x_0" localSheetId="85">'425'!$P$28</definedName>
    <definedName name="OSRRefP22_2x_0" localSheetId="88">'430'!$P$41</definedName>
    <definedName name="OSRRefP22_2x_0" localSheetId="89">'433'!$P$49</definedName>
    <definedName name="OSRRefP22_2x_0" localSheetId="91">'444'!$P$49</definedName>
    <definedName name="OSRRefP22_2x_0" localSheetId="93">'450'!$P$45</definedName>
    <definedName name="OSRRefP22_2x_0" localSheetId="72">'491'!$P$50</definedName>
    <definedName name="OSRRefP22_2x_0" localSheetId="87">'492'!$P$49</definedName>
    <definedName name="OSRRefP22_2x_0" localSheetId="95">'501'!$P$43</definedName>
    <definedName name="OSRRefP22_2x_0" localSheetId="39">'Div 2'!$P$44</definedName>
    <definedName name="OSRRefP22_2x_0" localSheetId="47">'Div 3'!$P$145</definedName>
    <definedName name="OSRRefP22_2x_0" localSheetId="70">'Div 4'!$P$53</definedName>
    <definedName name="OSRRefP22_2x_0" localSheetId="94">'Div 5'!$P$43</definedName>
    <definedName name="OSRRefP22_2x_0" localSheetId="61">'Div 6'!$P$72</definedName>
    <definedName name="OSRRefP22_2x_0" localSheetId="2">Summary!$P$172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'300'!$P$143:$P$144</definedName>
    <definedName name="OSRRefP22_3x_0" localSheetId="49">'300 &amp; 317'!$P$165:$P$166</definedName>
    <definedName name="OSRRefP22_3x_0" localSheetId="50">'301'!$P$44:$P$45</definedName>
    <definedName name="OSRRefP22_3x_0" localSheetId="52">'307'!$P$61</definedName>
    <definedName name="OSRRefP22_3x_0" localSheetId="53">'308'!$P$81:$P$82</definedName>
    <definedName name="OSRRefP22_3x_0" localSheetId="64">'309'!$P$44</definedName>
    <definedName name="OSRRefP22_3x_0" localSheetId="63">'310'!$P$51</definedName>
    <definedName name="OSRRefP22_3x_0" localSheetId="71">'310 &amp; 491'!$P$55</definedName>
    <definedName name="OSRRefP22_3x_0" localSheetId="54">'311'!$P$80:$P$81</definedName>
    <definedName name="OSRRefP22_3x_0" localSheetId="65">'313'!$P$46</definedName>
    <definedName name="OSRRefP22_3x_0" localSheetId="57">'315'!$P$103</definedName>
    <definedName name="OSRRefP22_3x_0" localSheetId="60">'316'!$P$55</definedName>
    <definedName name="OSRRefP22_3x_0" localSheetId="62">'317'!$P$74</definedName>
    <definedName name="OSRRefP22_3x_0" localSheetId="66">'321'!$P$49</definedName>
    <definedName name="OSRRefP22_3x_0" localSheetId="67">'322'!$P$45</definedName>
    <definedName name="OSRRefP22_3x_0" localSheetId="68">'325'!$P$47</definedName>
    <definedName name="OSRRefP22_3x_0" localSheetId="58">'326'!$P$70</definedName>
    <definedName name="OSRRefP22_3x_0" localSheetId="51">'330'!$P$61</definedName>
    <definedName name="OSRRefP22_3x_0" localSheetId="56">'331'!$P$104</definedName>
    <definedName name="OSRRefP22_3x_0" localSheetId="59">'332'!$P$55</definedName>
    <definedName name="OSRRefP22_3x_0" localSheetId="73">'405'!$P$46</definedName>
    <definedName name="OSRRefP22_3x_0" localSheetId="74">'406'!$P$26</definedName>
    <definedName name="OSRRefP22_3x_0" localSheetId="76">'411'!$P$43</definedName>
    <definedName name="OSRRefP22_3x_0" localSheetId="77">'412'!$P$44</definedName>
    <definedName name="OSRRefP22_3x_0" localSheetId="78">'413'!$P$46</definedName>
    <definedName name="OSRRefP22_3x_0" localSheetId="79">'414'!$P$48</definedName>
    <definedName name="OSRRefP22_3x_0" localSheetId="80">'415'!$P$50</definedName>
    <definedName name="OSRRefP22_3x_0" localSheetId="81">'418'!$P$45</definedName>
    <definedName name="OSRRefP22_3x_0" localSheetId="83">'423'!$P$42:$P$43</definedName>
    <definedName name="OSRRefP22_3x_0" localSheetId="84">'424'!$P$26</definedName>
    <definedName name="OSRRefP22_3x_0" localSheetId="85">'425'!$P$30</definedName>
    <definedName name="OSRRefP22_3x_0" localSheetId="88">'430'!$P$43</definedName>
    <definedName name="OSRRefP22_3x_0" localSheetId="89">'433'!$P$51</definedName>
    <definedName name="OSRRefP22_3x_0" localSheetId="91">'444'!$P$51</definedName>
    <definedName name="OSRRefP22_3x_0" localSheetId="93">'450'!$P$47</definedName>
    <definedName name="OSRRefP22_3x_0" localSheetId="72">'491'!$P$52</definedName>
    <definedName name="OSRRefP22_3x_0" localSheetId="87">'492'!$P$51</definedName>
    <definedName name="OSRRefP22_3x_0" localSheetId="95">'501'!$P$45</definedName>
    <definedName name="OSRRefP22_3x_0" localSheetId="39">'Div 2'!$P$46</definedName>
    <definedName name="OSRRefP22_3x_0" localSheetId="47">'Div 3'!$P$147:$P$148</definedName>
    <definedName name="OSRRefP22_3x_0" localSheetId="70">'Div 4'!$P$55</definedName>
    <definedName name="OSRRefP22_3x_0" localSheetId="94">'Div 5'!$P$45</definedName>
    <definedName name="OSRRefP22_3x_0" localSheetId="61">'Div 6'!$P$74</definedName>
    <definedName name="OSRRefP22_3x_0" localSheetId="2">Summary!$P$174:$P$175</definedName>
    <definedName name="OSRRefP22_4x_0" localSheetId="40">'200'!$P$28:$P$29</definedName>
    <definedName name="OSRRefP22_4x_0" localSheetId="41">'201'!$P$46:$P$47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'300'!$P$146</definedName>
    <definedName name="OSRRefP22_4x_0" localSheetId="49">'300 &amp; 317'!$P$168</definedName>
    <definedName name="OSRRefP22_4x_0" localSheetId="50">'301'!$P$47</definedName>
    <definedName name="OSRRefP22_4x_0" localSheetId="52">'307'!$P$63</definedName>
    <definedName name="OSRRefP22_4x_0" localSheetId="53">'308'!$P$84</definedName>
    <definedName name="OSRRefP22_4x_0" localSheetId="64">'309'!$P$46</definedName>
    <definedName name="OSRRefP22_4x_0" localSheetId="63">'310'!$P$53</definedName>
    <definedName name="OSRRefP22_4x_0" localSheetId="71">'310 &amp; 491'!$P$57</definedName>
    <definedName name="OSRRefP22_4x_0" localSheetId="54">'311'!$P$83</definedName>
    <definedName name="OSRRefP22_4x_0" localSheetId="65">'313'!$P$48</definedName>
    <definedName name="OSRRefP22_4x_0" localSheetId="57">'315'!$P$105</definedName>
    <definedName name="OSRRefP22_4x_0" localSheetId="60">'316'!$P$57</definedName>
    <definedName name="OSRRefP22_4x_0" localSheetId="62">'317'!$P$76</definedName>
    <definedName name="OSRRefP22_4x_0" localSheetId="66">'321'!$P$51</definedName>
    <definedName name="OSRRefP22_4x_0" localSheetId="67">'322'!$P$47</definedName>
    <definedName name="OSRRefP22_4x_0" localSheetId="68">'325'!$P$49</definedName>
    <definedName name="OSRRefP22_4x_0" localSheetId="58">'326'!$P$72</definedName>
    <definedName name="OSRRefP22_4x_0" localSheetId="51">'330'!$P$63</definedName>
    <definedName name="OSRRefP22_4x_0" localSheetId="56">'331'!$P$106</definedName>
    <definedName name="OSRRefP22_4x_0" localSheetId="59">'332'!$P$57</definedName>
    <definedName name="OSRRefP22_4x_0" localSheetId="73">'405'!$P$48:$P$49</definedName>
    <definedName name="OSRRefP22_4x_0" localSheetId="74">'406'!$P$28</definedName>
    <definedName name="OSRRefP22_4x_0" localSheetId="76">'411'!$P$45:$P$46</definedName>
    <definedName name="OSRRefP22_4x_0" localSheetId="77">'412'!$P$46:$P$47</definedName>
    <definedName name="OSRRefP22_4x_0" localSheetId="78">'413'!$P$48</definedName>
    <definedName name="OSRRefP22_4x_0" localSheetId="79">'414'!$P$50</definedName>
    <definedName name="OSRRefP22_4x_0" localSheetId="80">'415'!$P$52</definedName>
    <definedName name="OSRRefP22_4x_0" localSheetId="81">'418'!$P$47:$P$48</definedName>
    <definedName name="OSRRefP22_4x_0" localSheetId="83">'423'!$P$45</definedName>
    <definedName name="OSRRefP22_4x_0" localSheetId="85">'425'!$P$32:$P$33</definedName>
    <definedName name="OSRRefP22_4x_0" localSheetId="88">'430'!$P$45:$P$47</definedName>
    <definedName name="OSRRefP22_4x_0" localSheetId="89">'433'!$P$53</definedName>
    <definedName name="OSRRefP22_4x_0" localSheetId="91">'444'!$P$53</definedName>
    <definedName name="OSRRefP22_4x_0" localSheetId="93">'450'!$P$49</definedName>
    <definedName name="OSRRefP22_4x_0" localSheetId="72">'491'!$P$54</definedName>
    <definedName name="OSRRefP22_4x_0" localSheetId="87">'492'!$P$53</definedName>
    <definedName name="OSRRefP22_4x_0" localSheetId="95">'501'!$P$47</definedName>
    <definedName name="OSRRefP22_4x_0" localSheetId="39">'Div 2'!$P$48</definedName>
    <definedName name="OSRRefP22_4x_0" localSheetId="47">'Div 3'!$P$150</definedName>
    <definedName name="OSRRefP22_4x_0" localSheetId="70">'Div 4'!$P$57</definedName>
    <definedName name="OSRRefP22_4x_0" localSheetId="94">'Div 5'!$P$47</definedName>
    <definedName name="OSRRefP22_4x_0" localSheetId="61">'Div 6'!$P$76</definedName>
    <definedName name="OSRRefP22_4x_0" localSheetId="2">Summary!$P$177</definedName>
    <definedName name="OSRRefP22_5x_0" localSheetId="41">'201'!$P$49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'300'!$P$148:$P$149</definedName>
    <definedName name="OSRRefP22_5x_0" localSheetId="49">'300 &amp; 317'!$P$170:$P$171</definedName>
    <definedName name="OSRRefP22_5x_0" localSheetId="50">'301'!$P$49:$P$50</definedName>
    <definedName name="OSRRefP22_5x_0" localSheetId="52">'307'!$P$65:$P$66</definedName>
    <definedName name="OSRRefP22_5x_0" localSheetId="53">'308'!$P$86</definedName>
    <definedName name="OSRRefP22_5x_0" localSheetId="64">'309'!$P$48</definedName>
    <definedName name="OSRRefP22_5x_0" localSheetId="63">'310'!$P$55:$P$56</definedName>
    <definedName name="OSRRefP22_5x_0" localSheetId="71">'310 &amp; 491'!$P$59:$P$61</definedName>
    <definedName name="OSRRefP22_5x_0" localSheetId="54">'311'!$P$85</definedName>
    <definedName name="OSRRefP22_5x_0" localSheetId="65">'313'!$P$50</definedName>
    <definedName name="OSRRefP22_5x_0" localSheetId="57">'315'!$P$107</definedName>
    <definedName name="OSRRefP22_5x_0" localSheetId="60">'316'!$P$59</definedName>
    <definedName name="OSRRefP22_5x_0" localSheetId="62">'317'!$P$78</definedName>
    <definedName name="OSRRefP22_5x_0" localSheetId="66">'321'!$P$53</definedName>
    <definedName name="OSRRefP22_5x_0" localSheetId="67">'322'!$P$49</definedName>
    <definedName name="OSRRefP22_5x_0" localSheetId="68">'325'!$P$51:$P$52</definedName>
    <definedName name="OSRRefP22_5x_0" localSheetId="58">'326'!$P$74</definedName>
    <definedName name="OSRRefP22_5x_0" localSheetId="51">'330'!$P$65:$P$66</definedName>
    <definedName name="OSRRefP22_5x_0" localSheetId="56">'331'!$P$108</definedName>
    <definedName name="OSRRefP22_5x_0" localSheetId="59">'332'!$P$59</definedName>
    <definedName name="OSRRefP22_5x_0" localSheetId="73">'405'!$P$51</definedName>
    <definedName name="OSRRefP22_5x_0" localSheetId="76">'411'!$P$48</definedName>
    <definedName name="OSRRefP22_5x_0" localSheetId="77">'412'!$P$49</definedName>
    <definedName name="OSRRefP22_5x_0" localSheetId="78">'413'!$P$50</definedName>
    <definedName name="OSRRefP22_5x_0" localSheetId="79">'414'!$P$52</definedName>
    <definedName name="OSRRefP22_5x_0" localSheetId="80">'415'!$P$54:$P$55</definedName>
    <definedName name="OSRRefP22_5x_0" localSheetId="81">'418'!$P$50</definedName>
    <definedName name="OSRRefP22_5x_0" localSheetId="83">'423'!$P$47</definedName>
    <definedName name="OSRRefP22_5x_0" localSheetId="85">'425'!$P$35</definedName>
    <definedName name="OSRRefP22_5x_0" localSheetId="88">'430'!$P$49:$P$50</definedName>
    <definedName name="OSRRefP22_5x_0" localSheetId="89">'433'!$P$55</definedName>
    <definedName name="OSRRefP22_5x_0" localSheetId="91">'444'!$P$55</definedName>
    <definedName name="OSRRefP22_5x_0" localSheetId="93">'450'!$P$51</definedName>
    <definedName name="OSRRefP22_5x_0" localSheetId="72">'491'!$P$56:$P$58</definedName>
    <definedName name="OSRRefP22_5x_0" localSheetId="87">'492'!$P$55</definedName>
    <definedName name="OSRRefP22_5x_0" localSheetId="95">'501'!$P$49:$P$50</definedName>
    <definedName name="OSRRefP22_5x_0" localSheetId="39">'Div 2'!$P$50:$P$51</definedName>
    <definedName name="OSRRefP22_5x_0" localSheetId="47">'Div 3'!$P$152:$P$153</definedName>
    <definedName name="OSRRefP22_5x_0" localSheetId="70">'Div 4'!$P$59:$P$61</definedName>
    <definedName name="OSRRefP22_5x_0" localSheetId="94">'Div 5'!$P$49:$P$50</definedName>
    <definedName name="OSRRefP22_5x_0" localSheetId="61">'Div 6'!$P$78</definedName>
    <definedName name="OSRRefP22_5x_0" localSheetId="2">Summary!$P$179:$P$181</definedName>
    <definedName name="OSRRefP22_6x_0" localSheetId="41">'201'!$P$51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'205'!$P$50:$P$52</definedName>
    <definedName name="OSRRefP22_6x_0" localSheetId="46">'206'!$P$49</definedName>
    <definedName name="OSRRefP22_6x_0" localSheetId="48">'300'!$P$151:$P$152</definedName>
    <definedName name="OSRRefP22_6x_0" localSheetId="49">'300 &amp; 317'!$P$173:$P$174</definedName>
    <definedName name="OSRRefP22_6x_0" localSheetId="50">'301'!$P$52</definedName>
    <definedName name="OSRRefP22_6x_0" localSheetId="52">'307'!$P$68</definedName>
    <definedName name="OSRRefP22_6x_0" localSheetId="53">'308'!$P$88:$P$89</definedName>
    <definedName name="OSRRefP22_6x_0" localSheetId="64">'309'!$P$50</definedName>
    <definedName name="OSRRefP22_6x_0" localSheetId="63">'310'!$P$58</definedName>
    <definedName name="OSRRefP22_6x_0" localSheetId="71">'310 &amp; 491'!$P$63</definedName>
    <definedName name="OSRRefP22_6x_0" localSheetId="54">'311'!$P$87:$P$88</definedName>
    <definedName name="OSRRefP22_6x_0" localSheetId="65">'313'!$P$52:$P$53</definedName>
    <definedName name="OSRRefP22_6x_0" localSheetId="57">'315'!$P$109</definedName>
    <definedName name="OSRRefP22_6x_0" localSheetId="60">'316'!$P$61:$P$62</definedName>
    <definedName name="OSRRefP22_6x_0" localSheetId="62">'317'!$P$80:$P$81</definedName>
    <definedName name="OSRRefP22_6x_0" localSheetId="66">'321'!$P$55</definedName>
    <definedName name="OSRRefP22_6x_0" localSheetId="67">'322'!$P$51</definedName>
    <definedName name="OSRRefP22_6x_0" localSheetId="68">'325'!$P$54</definedName>
    <definedName name="OSRRefP22_6x_0" localSheetId="58">'326'!$P$76</definedName>
    <definedName name="OSRRefP22_6x_0" localSheetId="51">'330'!$P$68</definedName>
    <definedName name="OSRRefP22_6x_0" localSheetId="56">'331'!$P$110</definedName>
    <definedName name="OSRRefP22_6x_0" localSheetId="59">'332'!$P$61:$P$62</definedName>
    <definedName name="OSRRefP22_6x_0" localSheetId="73">'405'!$P$53</definedName>
    <definedName name="OSRRefP22_6x_0" localSheetId="76">'411'!$P$50</definedName>
    <definedName name="OSRRefP22_6x_0" localSheetId="77">'412'!$P$51</definedName>
    <definedName name="OSRRefP22_6x_0" localSheetId="78">'413'!$P$52</definedName>
    <definedName name="OSRRefP22_6x_0" localSheetId="79">'414'!$P$54</definedName>
    <definedName name="OSRRefP22_6x_0" localSheetId="80">'415'!$P$57</definedName>
    <definedName name="OSRRefP22_6x_0" localSheetId="81">'418'!$P$52</definedName>
    <definedName name="OSRRefP22_6x_0" localSheetId="83">'423'!$P$49</definedName>
    <definedName name="OSRRefP22_6x_0" localSheetId="88">'430'!$P$52</definedName>
    <definedName name="OSRRefP22_6x_0" localSheetId="89">'433'!$P$57</definedName>
    <definedName name="OSRRefP22_6x_0" localSheetId="91">'444'!$P$57</definedName>
    <definedName name="OSRRefP22_6x_0" localSheetId="93">'450'!$P$53</definedName>
    <definedName name="OSRRefP22_6x_0" localSheetId="72">'491'!$P$60</definedName>
    <definedName name="OSRRefP22_6x_0" localSheetId="87">'492'!$P$57</definedName>
    <definedName name="OSRRefP22_6x_0" localSheetId="95">'501'!$P$52</definedName>
    <definedName name="OSRRefP22_6x_0" localSheetId="39">'Div 2'!$P$53:$P$54</definedName>
    <definedName name="OSRRefP22_6x_0" localSheetId="47">'Div 3'!$P$155:$P$156</definedName>
    <definedName name="OSRRefP22_6x_0" localSheetId="70">'Div 4'!$P$63</definedName>
    <definedName name="OSRRefP22_6x_0" localSheetId="94">'Div 5'!$P$52</definedName>
    <definedName name="OSRRefP22_6x_0" localSheetId="61">'Div 6'!$P$80:$P$81</definedName>
    <definedName name="OSRRefP22_6x_0" localSheetId="2">Summary!$P$183:$P$184</definedName>
    <definedName name="OSRRefP22_7x_0" localSheetId="41">'201'!$P$53</definedName>
    <definedName name="OSRRefP22_7x_0" localSheetId="42">'202'!$P$53:$P$55</definedName>
    <definedName name="OSRRefP22_7x_0" localSheetId="43">'203'!$P$52:$P$53</definedName>
    <definedName name="OSRRefP22_7x_0" localSheetId="44">'204'!$P$53:$P$55</definedName>
    <definedName name="OSRRefP22_7x_0" localSheetId="45">'205'!$P$54</definedName>
    <definedName name="OSRRefP22_7x_0" localSheetId="46">'206'!$P$51</definedName>
    <definedName name="OSRRefP22_7x_0" localSheetId="48">'300'!$P$154:$P$155</definedName>
    <definedName name="OSRRefP22_7x_0" localSheetId="49">'300 &amp; 317'!$P$176:$P$177</definedName>
    <definedName name="OSRRefP22_7x_0" localSheetId="50">'301'!$P$54</definedName>
    <definedName name="OSRRefP22_7x_0" localSheetId="52">'307'!$P$70</definedName>
    <definedName name="OSRRefP22_7x_0" localSheetId="53">'308'!$P$91:$P$92</definedName>
    <definedName name="OSRRefP22_7x_0" localSheetId="64">'309'!$P$52:$P$53</definedName>
    <definedName name="OSRRefP22_7x_0" localSheetId="63">'310'!$P$60</definedName>
    <definedName name="OSRRefP22_7x_0" localSheetId="71">'310 &amp; 491'!$P$65</definedName>
    <definedName name="OSRRefP22_7x_0" localSheetId="54">'311'!$P$90:$P$91</definedName>
    <definedName name="OSRRefP22_7x_0" localSheetId="65">'313'!$P$55</definedName>
    <definedName name="OSRRefP22_7x_0" localSheetId="57">'315'!$P$111:$P$112</definedName>
    <definedName name="OSRRefP22_7x_0" localSheetId="60">'316'!$P$64:$P$65</definedName>
    <definedName name="OSRRefP22_7x_0" localSheetId="62">'317'!$P$83</definedName>
    <definedName name="OSRRefP22_7x_0" localSheetId="66">'321'!$P$57:$P$58</definedName>
    <definedName name="OSRRefP22_7x_0" localSheetId="67">'322'!$P$53:$P$54</definedName>
    <definedName name="OSRRefP22_7x_0" localSheetId="68">'325'!$P$56</definedName>
    <definedName name="OSRRefP22_7x_0" localSheetId="58">'326'!$P$78</definedName>
    <definedName name="OSRRefP22_7x_0" localSheetId="51">'330'!$P$70</definedName>
    <definedName name="OSRRefP22_7x_0" localSheetId="56">'331'!$P$112</definedName>
    <definedName name="OSRRefP22_7x_0" localSheetId="59">'332'!$P$64:$P$65</definedName>
    <definedName name="OSRRefP22_7x_0" localSheetId="73">'405'!$P$55</definedName>
    <definedName name="OSRRefP22_7x_0" localSheetId="76">'411'!$P$52</definedName>
    <definedName name="OSRRefP22_7x_0" localSheetId="77">'412'!$P$53</definedName>
    <definedName name="OSRRefP22_7x_0" localSheetId="78">'413'!$P$54</definedName>
    <definedName name="OSRRefP22_7x_0" localSheetId="79">'414'!$P$56</definedName>
    <definedName name="OSRRefP22_7x_0" localSheetId="80">'415'!$P$59</definedName>
    <definedName name="OSRRefP22_7x_0" localSheetId="81">'418'!$P$54</definedName>
    <definedName name="OSRRefP22_7x_0" localSheetId="88">'430'!$P$54</definedName>
    <definedName name="OSRRefP22_7x_0" localSheetId="89">'433'!$P$59</definedName>
    <definedName name="OSRRefP22_7x_0" localSheetId="91">'444'!$P$59</definedName>
    <definedName name="OSRRefP22_7x_0" localSheetId="93">'450'!$P$55</definedName>
    <definedName name="OSRRefP22_7x_0" localSheetId="72">'491'!$P$62</definedName>
    <definedName name="OSRRefP22_7x_0" localSheetId="87">'492'!$P$59</definedName>
    <definedName name="OSRRefP22_7x_0" localSheetId="95">'501'!$P$54</definedName>
    <definedName name="OSRRefP22_7x_0" localSheetId="39">'Div 2'!$P$56</definedName>
    <definedName name="OSRRefP22_7x_0" localSheetId="47">'Div 3'!$P$158:$P$159</definedName>
    <definedName name="OSRRefP22_7x_0" localSheetId="70">'Div 4'!$P$65</definedName>
    <definedName name="OSRRefP22_7x_0" localSheetId="94">'Div 5'!$P$54</definedName>
    <definedName name="OSRRefP22_7x_0" localSheetId="61">'Div 6'!$P$83</definedName>
    <definedName name="OSRRefP22_7x_0" localSheetId="2">Summary!$P$186:$P$187</definedName>
    <definedName name="OSRRefP22_8x_0" localSheetId="41">'201'!$P$55</definedName>
    <definedName name="OSRRefP22_8x_0" localSheetId="42">'202'!$P$57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'300'!$P$157</definedName>
    <definedName name="OSRRefP22_8x_0" localSheetId="49">'300 &amp; 317'!$P$179</definedName>
    <definedName name="OSRRefP22_8x_0" localSheetId="50">'301'!$P$56</definedName>
    <definedName name="OSRRefP22_8x_0" localSheetId="52">'307'!$P$72</definedName>
    <definedName name="OSRRefP22_8x_0" localSheetId="53">'308'!$P$94</definedName>
    <definedName name="OSRRefP22_8x_0" localSheetId="64">'309'!$P$55:$P$56</definedName>
    <definedName name="OSRRefP22_8x_0" localSheetId="63">'310'!$P$62</definedName>
    <definedName name="OSRRefP22_8x_0" localSheetId="71">'310 &amp; 491'!$P$67:$P$68</definedName>
    <definedName name="OSRRefP22_8x_0" localSheetId="54">'311'!$P$93</definedName>
    <definedName name="OSRRefP22_8x_0" localSheetId="65">'313'!$P$57:$P$59</definedName>
    <definedName name="OSRRefP22_8x_0" localSheetId="57">'315'!$P$114</definedName>
    <definedName name="OSRRefP22_8x_0" localSheetId="60">'316'!$P$67</definedName>
    <definedName name="OSRRefP22_8x_0" localSheetId="62">'317'!$P$85</definedName>
    <definedName name="OSRRefP22_8x_0" localSheetId="66">'321'!$P$60:$P$61</definedName>
    <definedName name="OSRRefP22_8x_0" localSheetId="67">'322'!$P$56:$P$57</definedName>
    <definedName name="OSRRefP22_8x_0" localSheetId="68">'325'!$P$58</definedName>
    <definedName name="OSRRefP22_8x_0" localSheetId="58">'326'!$P$80:$P$81</definedName>
    <definedName name="OSRRefP22_8x_0" localSheetId="51">'330'!$P$72</definedName>
    <definedName name="OSRRefP22_8x_0" localSheetId="56">'331'!$P$114:$P$115</definedName>
    <definedName name="OSRRefP22_8x_0" localSheetId="59">'332'!$P$67</definedName>
    <definedName name="OSRRefP22_8x_0" localSheetId="73">'405'!$P$57</definedName>
    <definedName name="OSRRefP22_8x_0" localSheetId="76">'411'!$P$54</definedName>
    <definedName name="OSRRefP22_8x_0" localSheetId="77">'412'!$P$55:$P$56</definedName>
    <definedName name="OSRRefP22_8x_0" localSheetId="78">'413'!$P$56:$P$59</definedName>
    <definedName name="OSRRefP22_8x_0" localSheetId="79">'414'!$P$58:$P$59</definedName>
    <definedName name="OSRRefP22_8x_0" localSheetId="80">'415'!$P$61</definedName>
    <definedName name="OSRRefP22_8x_0" localSheetId="81">'418'!$P$56:$P$58</definedName>
    <definedName name="OSRRefP22_8x_0" localSheetId="89">'433'!$P$61</definedName>
    <definedName name="OSRRefP22_8x_0" localSheetId="91">'444'!$P$61</definedName>
    <definedName name="OSRRefP22_8x_0" localSheetId="93">'450'!$P$57</definedName>
    <definedName name="OSRRefP22_8x_0" localSheetId="72">'491'!$P$64</definedName>
    <definedName name="OSRRefP22_8x_0" localSheetId="87">'492'!$P$61</definedName>
    <definedName name="OSRRefP22_8x_0" localSheetId="95">'501'!$P$56</definedName>
    <definedName name="OSRRefP22_8x_0" localSheetId="39">'Div 2'!$P$58</definedName>
    <definedName name="OSRRefP22_8x_0" localSheetId="47">'Div 3'!$P$161</definedName>
    <definedName name="OSRRefP22_8x_0" localSheetId="70">'Div 4'!$P$67</definedName>
    <definedName name="OSRRefP22_8x_0" localSheetId="94">'Div 5'!$P$56</definedName>
    <definedName name="OSRRefP22_8x_0" localSheetId="61">'Div 6'!$P$85</definedName>
    <definedName name="OSRRefP22_8x_0" localSheetId="2">Summary!$P$189</definedName>
    <definedName name="OSRRefP22_9x_0" localSheetId="41">'201'!$P$57</definedName>
    <definedName name="OSRRefP22_9x_0" localSheetId="42">'202'!$P$59:$P$61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'300'!$P$159</definedName>
    <definedName name="OSRRefP22_9x_0" localSheetId="49">'300 &amp; 317'!$P$181</definedName>
    <definedName name="OSRRefP22_9x_0" localSheetId="50">'301'!$P$58</definedName>
    <definedName name="OSRRefP22_9x_0" localSheetId="52">'307'!$P$74:$P$75</definedName>
    <definedName name="OSRRefP22_9x_0" localSheetId="53">'308'!$P$96:$P$97</definedName>
    <definedName name="OSRRefP22_9x_0" localSheetId="64">'309'!$P$58:$P$60</definedName>
    <definedName name="OSRRefP22_9x_0" localSheetId="63">'310'!$P$64</definedName>
    <definedName name="OSRRefP22_9x_0" localSheetId="71">'310 &amp; 491'!$P$70</definedName>
    <definedName name="OSRRefP22_9x_0" localSheetId="54">'311'!$P$95:$P$96</definedName>
    <definedName name="OSRRefP22_9x_0" localSheetId="65">'313'!$P$61:$P$62</definedName>
    <definedName name="OSRRefP22_9x_0" localSheetId="57">'315'!$P$116</definedName>
    <definedName name="OSRRefP22_9x_0" localSheetId="60">'316'!$P$69:$P$73</definedName>
    <definedName name="OSRRefP22_9x_0" localSheetId="62">'317'!$P$87</definedName>
    <definedName name="OSRRefP22_9x_0" localSheetId="66">'321'!$P$63:$P$64</definedName>
    <definedName name="OSRRefP22_9x_0" localSheetId="67">'322'!$P$59:$P$62</definedName>
    <definedName name="OSRRefP22_9x_0" localSheetId="68">'325'!$P$60</definedName>
    <definedName name="OSRRefP22_9x_0" localSheetId="58">'326'!$P$83</definedName>
    <definedName name="OSRRefP22_9x_0" localSheetId="51">'330'!$P$74:$P$75</definedName>
    <definedName name="OSRRefP22_9x_0" localSheetId="56">'331'!$P$117:$P$118</definedName>
    <definedName name="OSRRefP22_9x_0" localSheetId="59">'332'!$P$69:$P$73</definedName>
    <definedName name="OSRRefP22_9x_0" localSheetId="73">'405'!$P$59:$P$60</definedName>
    <definedName name="OSRRefP22_9x_0" localSheetId="76">'411'!$P$56:$P$58</definedName>
    <definedName name="OSRRefP22_9x_0" localSheetId="77">'412'!$P$58</definedName>
    <definedName name="OSRRefP22_9x_0" localSheetId="78">'413'!$P$61:$P$62</definedName>
    <definedName name="OSRRefP22_9x_0" localSheetId="79">'414'!$P$61</definedName>
    <definedName name="OSRRefP22_9x_0" localSheetId="80">'415'!$P$63</definedName>
    <definedName name="OSRRefP22_9x_0" localSheetId="81">'418'!$P$60:$P$61</definedName>
    <definedName name="OSRRefP22_9x_0" localSheetId="89">'433'!$P$63</definedName>
    <definedName name="OSRRefP22_9x_0" localSheetId="91">'444'!$P$63</definedName>
    <definedName name="OSRRefP22_9x_0" localSheetId="93">'450'!$P$59</definedName>
    <definedName name="OSRRefP22_9x_0" localSheetId="72">'491'!$P$66</definedName>
    <definedName name="OSRRefP22_9x_0" localSheetId="87">'492'!$P$63</definedName>
    <definedName name="OSRRefP22_9x_0" localSheetId="95">'501'!$P$58:$P$61</definedName>
    <definedName name="OSRRefP22_9x_0" localSheetId="39">'Div 2'!$P$60:$P$61</definedName>
    <definedName name="OSRRefP22_9x_0" localSheetId="47">'Div 3'!$P$163</definedName>
    <definedName name="OSRRefP22_9x_0" localSheetId="70">'Div 4'!$P$69</definedName>
    <definedName name="OSRRefP22_9x_0" localSheetId="94">'Div 5'!$P$58:$P$61</definedName>
    <definedName name="OSRRefP22_9x_0" localSheetId="61">'Div 6'!$P$87</definedName>
    <definedName name="OSRRefP22_9x_0" localSheetId="2">Summary!$P$191</definedName>
    <definedName name="OSRRefP22x_0" localSheetId="40">'200'!$P$20,'200'!$P$22,'200'!$P$24,'200'!$P$26,'200'!$P$28:$P$29</definedName>
    <definedName name="OSRRefP22x_0" localSheetId="41">'201'!$P$21:$P$29,'201'!$P$31:$P$40,'201'!$P$42,'201'!$P$44,'201'!$P$46:$P$47,'201'!$P$49,'201'!$P$51,'201'!$P$53,'201'!$P$55,'201'!$P$57,'201'!$P$59:$P$61,'201'!$P$63,'201'!$P$65,'201'!$P$67:$P$69,'201'!$P$71,'201'!$P$73,'201'!$P$75</definedName>
    <definedName name="OSRRefP22x_0" localSheetId="42">'202'!$P$21:$P$29,'202'!$P$31:$P$40,'202'!$P$42,'202'!$P$44,'202'!$P$46:$P$47,'202'!$P$49,'202'!$P$51,'202'!$P$53:$P$55,'202'!$P$57,'202'!$P$59:$P$61,'202'!$P$63,'202'!$P$65,'202'!$P$67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$119:$P$128,'300'!$P$130:$P$139,'300'!$P$141,'300'!$P$143:$P$144,'300'!$P$146,'300'!$P$148:$P$149,'300'!$P$151:$P$152,'300'!$P$154:$P$155,'300'!$P$157,'300'!$P$159,'300'!$P$161:$P$162,'300'!$P$164:$P$166,'300'!$P$168,'300'!$P$170,'300'!$P$172,'300'!$P$174,'300'!$P$176:$P$179,'300'!$P$181:$P$184,'300'!$P$186:$P$189,'300'!$P$191:$P$192,'300'!$P$194:$P$202,'300'!$P$204:$P$205,'300'!$P$207,'300'!$P$209:$P$211,'300'!$P$213</definedName>
    <definedName name="OSRRefP22x_0" localSheetId="49">'300 &amp; 317'!$P$141:$P$150,'300 &amp; 317'!$P$152:$P$161,'300 &amp; 317'!$P$163,'300 &amp; 317'!$P$165:$P$166,'300 &amp; 317'!$P$168,'300 &amp; 317'!$P$170:$P$171,'300 &amp; 317'!$P$173:$P$174,'300 &amp; 317'!$P$176:$P$177,'300 &amp; 317'!$P$179,'300 &amp; 317'!$P$181,'300 &amp; 317'!$P$183:$P$184,'300 &amp; 317'!$P$186:$P$188,'300 &amp; 317'!$P$190,'300 &amp; 317'!$P$192,'300 &amp; 317'!$P$194,'300 &amp; 317'!$P$196,'300 &amp; 317'!$P$198:$P$201,'300 &amp; 317'!$P$203:$P$206,'300 &amp; 317'!$P$208:$P$211,'300 &amp; 317'!$P$213:$P$214,'300 &amp; 317'!$P$216:$P$224,'300 &amp; 317'!$P$226:$P$227,'300 &amp; 317'!$P$229,'300 &amp; 317'!$P$231:$P$233,'300 &amp; 317'!$P$235</definedName>
    <definedName name="OSRRefP22x_0" localSheetId="50">'301'!$P$20:$P$29,'301'!$P$31:$P$40,'301'!$P$42,'301'!$P$44:$P$45,'301'!$P$47,'301'!$P$49:$P$50,'301'!$P$52,'301'!$P$54,'301'!$P$56,'301'!$P$58,'301'!$P$60,'301'!$P$62,'301'!$P$64,'301'!$P$66,'301'!$P$68:$P$71,'301'!$P$73:$P$75,'301'!$P$77,'301'!$P$79:$P$85,'301'!$P$87,'301'!$P$89,'301'!$P$91:$P$92,'301'!$P$94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'308'!$P$57:$P$66,'308'!$P$68:$P$77,'308'!$P$79,'308'!$P$81:$P$82,'308'!$P$84,'308'!$P$86,'308'!$P$88:$P$89,'308'!$P$91:$P$92,'308'!$P$94,'308'!$P$96:$P$97,'308'!$P$99:$P$100,'308'!$P$102:$P$104,'308'!$P$106:$P$107,'308'!$P$109,'308'!$P$111</definedName>
    <definedName name="OSRRefP22x_0" localSheetId="64">'309'!$P$22:$P$29,'309'!$P$31:$P$40,'309'!$P$42,'309'!$P$44,'309'!$P$46,'309'!$P$48,'309'!$P$50,'309'!$P$52:$P$53,'309'!$P$55:$P$56,'309'!$P$58:$P$60,'309'!$P$62</definedName>
    <definedName name="OSRRefP22x_0" localSheetId="63">'310'!$P$28:$P$36,'310'!$P$38:$P$47,'310'!$P$49,'310'!$P$51,'310'!$P$53,'310'!$P$55:$P$56,'310'!$P$58,'310'!$P$60,'310'!$P$62,'310'!$P$64,'310'!$P$66,'310'!$P$68,'310'!$P$70,'310'!$P$72:$P$75,'310'!$P$77:$P$78,'310'!$P$80:$P$83,'310'!$P$85,'310'!$P$87:$P$93,'310'!$P$95:$P$96,'310'!$P$98,'310'!$P$100,'310'!$P$102</definedName>
    <definedName name="OSRRefP22x_0" localSheetId="71">'310 &amp; 491'!$P$32:$P$40,'310 &amp; 491'!$P$42:$P$51,'310 &amp; 491'!$P$53,'310 &amp; 491'!$P$55,'310 &amp; 491'!$P$57,'310 &amp; 491'!$P$59:$P$61,'310 &amp; 491'!$P$63,'310 &amp; 491'!$P$65,'310 &amp; 491'!$P$67:$P$68,'310 &amp; 491'!$P$70,'310 &amp; 491'!$P$72,'310 &amp; 491'!$P$74,'310 &amp; 491'!$P$76,'310 &amp; 491'!$P$78:$P$81,'310 &amp; 491'!$P$83:$P$84,'310 &amp; 491'!$P$86:$P$90,'310 &amp; 491'!$P$92:$P$93,'310 &amp; 491'!$P$95:$P$105,'310 &amp; 491'!$P$107:$P$108,'310 &amp; 491'!$P$110,'310 &amp; 491'!$P$112:$P$114,'310 &amp; 491'!$P$116</definedName>
    <definedName name="OSRRefP22x_0" localSheetId="54">'311'!$P$56:$P$65,'311'!$P$67:$P$76,'311'!$P$78,'311'!$P$80:$P$81,'311'!$P$83,'311'!$P$85,'311'!$P$87:$P$88,'311'!$P$90:$P$91,'311'!$P$93,'311'!$P$95:$P$96,'311'!$P$98:$P$99,'311'!$P$101:$P$103,'311'!$P$105:$P$106,'311'!$P$108,'311'!$P$110</definedName>
    <definedName name="OSRRefP22x_0" localSheetId="65">'313'!$P$23:$P$31,'313'!$P$33:$P$42,'313'!$P$44,'313'!$P$46,'313'!$P$48,'313'!$P$50,'313'!$P$52:$P$53,'313'!$P$55,'313'!$P$57:$P$59,'313'!$P$61:$P$62,'313'!$P$64,'313'!$P$66</definedName>
    <definedName name="OSRRefP22x_0" localSheetId="57">'315'!$P$80:$P$88,'315'!$P$90:$P$99,'315'!$P$101,'315'!$P$103,'315'!$P$105,'315'!$P$107,'315'!$P$109,'315'!$P$111:$P$112,'315'!$P$114,'315'!$P$116,'315'!$P$118,'315'!$P$120,'315'!$P$122:$P$124,'315'!$P$126:$P$127,'315'!$P$129:$P$135,'315'!$P$137,'315'!$P$139,'315'!$P$141:$P$142</definedName>
    <definedName name="OSRRefP22x_0" localSheetId="60">'316'!$P$32:$P$40,'316'!$P$42:$P$51,'316'!$P$53,'316'!$P$55,'316'!$P$57,'316'!$P$59,'316'!$P$61:$P$62,'316'!$P$64:$P$65,'316'!$P$67,'316'!$P$69:$P$73,'316'!$P$75,'316'!$P$77</definedName>
    <definedName name="OSRRefP22x_0" localSheetId="62">'317'!$P$50:$P$59,'317'!$P$61:$P$70,'317'!$P$72,'317'!$P$74,'317'!$P$76,'317'!$P$78,'317'!$P$80:$P$81,'317'!$P$83,'317'!$P$85,'317'!$P$87,'317'!$P$89:$P$91,'317'!$P$93,'317'!$P$95</definedName>
    <definedName name="OSRRefP22x_0" localSheetId="66">'321'!$P$26:$P$34,'321'!$P$36:$P$45,'321'!$P$47,'321'!$P$49,'321'!$P$51,'321'!$P$53,'321'!$P$55,'321'!$P$57:$P$58,'321'!$P$60:$P$61,'321'!$P$63:$P$64,'321'!$P$66:$P$68,'321'!$P$70:$P$71,'321'!$P$73,'321'!$P$75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8">'326'!$P$47:$P$55,'326'!$P$57:$P$66,'326'!$P$68,'326'!$P$70,'326'!$P$72,'326'!$P$74,'326'!$P$76,'326'!$P$78,'326'!$P$80:$P$81,'326'!$P$83,'326'!$P$85,'326'!$P$87,'326'!$P$89,'326'!$P$91:$P$93,'326'!$P$95:$P$97,'326'!$P$99:$P$100,'326'!$P$102:$P$107,'326'!$P$109:$P$110,'326'!$P$112,'326'!$P$114:$P$115,'326'!$P$117</definedName>
    <definedName name="OSRRefP22x_0" localSheetId="69">'327'!$P$24</definedName>
    <definedName name="OSRRefP22x_0" localSheetId="51">'330'!$P$39:$P$46,'330'!$P$48:$P$57,'330'!$P$59,'330'!$P$61,'330'!$P$63,'330'!$P$65:$P$66,'330'!$P$68,'330'!$P$70,'330'!$P$72,'330'!$P$74:$P$75,'330'!$P$77:$P$78,'330'!$P$80:$P$83,'330'!$P$85:$P$86,'330'!$P$88</definedName>
    <definedName name="OSRRefP22x_0" localSheetId="56">'331'!$P$81:$P$89,'331'!$P$91:$P$100,'331'!$P$102,'331'!$P$104,'331'!$P$106,'331'!$P$108,'331'!$P$110,'331'!$P$112,'331'!$P$114:$P$115,'331'!$P$117:$P$118,'331'!$P$120,'331'!$P$122,'331'!$P$124,'331'!$P$126,'331'!$P$128:$P$130,'331'!$P$132:$P$134,'331'!$P$136:$P$138,'331'!$P$140:$P$141,'331'!$P$143:$P$150,'331'!$P$152:$P$153,'331'!$P$155,'331'!$P$157:$P$158,'331'!$P$160</definedName>
    <definedName name="OSRRefP22x_0" localSheetId="59">'332'!$P$32:$P$40,'332'!$P$42:$P$51,'332'!$P$53,'332'!$P$55,'332'!$P$57,'332'!$P$59,'332'!$P$61:$P$62,'332'!$P$64:$P$65,'332'!$P$67,'332'!$P$69:$P$73,'332'!$P$75,'332'!$P$77</definedName>
    <definedName name="OSRRefP22x_0" localSheetId="73">'405'!$P$24:$P$31,'405'!$P$33:$P$42,'405'!$P$44,'405'!$P$46,'405'!$P$48:$P$49,'405'!$P$51,'405'!$P$53,'405'!$P$55,'405'!$P$57,'405'!$P$59:$P$60,'405'!$P$62,'405'!$P$64:$P$67,'405'!$P$69,'405'!$P$71:$P$79,'405'!$P$81,'405'!$P$83,'405'!$P$85,'405'!$P$87</definedName>
    <definedName name="OSRRefP22x_0" localSheetId="74">'406'!$P$20,'406'!$P$22,'406'!$P$24,'406'!$P$26,'406'!$P$28</definedName>
    <definedName name="OSRRefP22x_0" localSheetId="76">'411'!$P$20:$P$28,'411'!$P$30:$P$39,'411'!$P$41,'411'!$P$43,'411'!$P$45:$P$46,'411'!$P$48,'411'!$P$50,'411'!$P$52,'411'!$P$54,'411'!$P$56:$P$58,'411'!$P$60:$P$63,'411'!$P$65,'411'!$P$67:$P$73,'411'!$P$75,'411'!$P$77,'411'!$P$79</definedName>
    <definedName name="OSRRefP22x_0" localSheetId="77">'412'!$P$22:$P$29,'412'!$P$31:$P$40,'412'!$P$42,'412'!$P$44,'412'!$P$46:$P$47,'412'!$P$49,'412'!$P$51,'412'!$P$53,'412'!$P$55:$P$56,'412'!$P$58,'412'!$P$60:$P$63,'412'!$P$65:$P$69,'412'!$P$71:$P$72,'412'!$P$74</definedName>
    <definedName name="OSRRefP22x_0" localSheetId="78">'413'!$P$23:$P$31,'413'!$P$33:$P$42,'413'!$P$44,'413'!$P$46,'413'!$P$48,'413'!$P$50,'413'!$P$52,'413'!$P$54,'413'!$P$56:$P$59,'413'!$P$61:$P$62,'413'!$P$64:$P$71,'413'!$P$73:$P$74,'413'!$P$76</definedName>
    <definedName name="OSRRefP22x_0" localSheetId="79">'414'!$P$25:$P$33,'414'!$P$35:$P$44,'414'!$P$46,'414'!$P$48,'414'!$P$50,'414'!$P$52,'414'!$P$54,'414'!$P$56,'414'!$P$58:$P$59,'414'!$P$61,'414'!$P$63,'414'!$P$65,'414'!$P$67:$P$69,'414'!$P$71,'414'!$P$73,'414'!$P$75</definedName>
    <definedName name="OSRRefP22x_0" localSheetId="80">'415'!$P$27:$P$35,'415'!$P$37:$P$46,'415'!$P$48,'415'!$P$50,'415'!$P$52,'415'!$P$54:$P$55,'415'!$P$57,'415'!$P$59,'415'!$P$61,'415'!$P$63,'415'!$P$65,'415'!$P$67:$P$68,'415'!$P$70:$P$74,'415'!$P$76,'415'!$P$78:$P$85,'415'!$P$87:$P$88,'415'!$P$90,'415'!$P$92:$P$93,'415'!$P$95</definedName>
    <definedName name="OSRRefP22x_0" localSheetId="81">'418'!$P$23:$P$30,'418'!$P$32:$P$41,'418'!$P$43,'418'!$P$45,'418'!$P$47:$P$48,'418'!$P$50,'418'!$P$52,'418'!$P$54,'418'!$P$56:$P$58,'418'!$P$60:$P$61,'418'!$P$63:$P$64,'418'!$P$66:$P$75,'418'!$P$77:$P$78,'418'!$P$80</definedName>
    <definedName name="OSRRefP22x_0" localSheetId="82">'420'!$P$21</definedName>
    <definedName name="OSRRefP22x_0" localSheetId="83">'423'!$P$20:$P$27,'423'!$P$29:$P$38,'423'!$P$40,'423'!$P$42:$P$43,'423'!$P$45,'423'!$P$47,'423'!$P$49</definedName>
    <definedName name="OSRRefP22x_0" localSheetId="84">'424'!$P$20,'424'!$P$22,'424'!$P$24,'424'!$P$26</definedName>
    <definedName name="OSRRefP22x_0" localSheetId="85">'425'!$P$20:$P$24,'425'!$P$26,'425'!$P$28,'425'!$P$30,'425'!$P$32:$P$33,'425'!$P$35</definedName>
    <definedName name="OSRRefP22x_0" localSheetId="88">'430'!$P$20:$P$28,'430'!$P$30:$P$39,'430'!$P$41,'430'!$P$43,'430'!$P$45:$P$47,'430'!$P$49:$P$50,'430'!$P$52,'430'!$P$54</definedName>
    <definedName name="OSRRefP22x_0" localSheetId="89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90">'435'!$P$20</definedName>
    <definedName name="OSRRefP22x_0" localSheetId="91">'444'!$P$27:$P$36,'444'!$P$38:$P$47,'444'!$P$49,'444'!$P$51,'444'!$P$53,'444'!$P$55,'444'!$P$57,'444'!$P$59,'444'!$P$61,'444'!$P$63,'444'!$P$65,'444'!$P$67:$P$70,'444'!$P$72:$P$75,'444'!$P$77,'444'!$P$79:$P$87,'444'!$P$89:$P$90,'444'!$P$92</definedName>
    <definedName name="OSRRefP22x_0" localSheetId="93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$29:$P$37,'491'!$P$39:$P$48,'491'!$P$50,'491'!$P$52,'491'!$P$54,'491'!$P$56:$P$58,'491'!$P$60,'491'!$P$62,'491'!$P$64,'491'!$P$66,'491'!$P$68,'491'!$P$70,'491'!$P$72,'491'!$P$74:$P$77,'491'!$P$79:$P$80,'491'!$P$82:$P$86,'491'!$P$88:$P$89,'491'!$P$91:$P$101,'491'!$P$103:$P$104,'491'!$P$106,'491'!$P$108:$P$110,'491'!$P$112</definedName>
    <definedName name="OSRRefP22x_0" localSheetId="87">'492'!$P$27:$P$36,'492'!$P$38:$P$47,'492'!$P$49,'492'!$P$51,'492'!$P$53,'492'!$P$55,'492'!$P$57,'492'!$P$59,'492'!$P$61,'492'!$P$63,'492'!$P$65,'492'!$P$67,'492'!$P$69:$P$72,'492'!$P$74:$P$77,'492'!$P$79,'492'!$P$81:$P$90,'492'!$P$92:$P$93,'492'!$P$95,'492'!$P$97</definedName>
    <definedName name="OSRRefP22x_0" localSheetId="95">'501'!$P$21:$P$30,'501'!$P$32:$P$41,'501'!$P$43,'501'!$P$45,'501'!$P$47,'501'!$P$49:$P$50,'501'!$P$52,'501'!$P$54,'501'!$P$56,'501'!$P$58:$P$61,'501'!$P$63:$P$64,'501'!$P$66</definedName>
    <definedName name="OSRRefP22x_0" localSheetId="39">'Div 2'!$P$21:$P$31,'Div 2'!$P$33:$P$42,'Div 2'!$P$44,'Div 2'!$P$46,'Div 2'!$P$48,'Div 2'!$P$50:$P$51,'Div 2'!$P$53:$P$54,'Div 2'!$P$56,'Div 2'!$P$58,'Div 2'!$P$60:$P$61,'Div 2'!$P$63,'Div 2'!$P$65:$P$66,'Div 2'!$P$68:$P$71,'Div 2'!$P$73:$P$76,'Div 2'!$P$78:$P$79,'Div 2'!$P$81:$P$82,'Div 2'!$P$84:$P$88,'Div 2'!$P$90:$P$91,'Div 2'!$P$93,'Div 2'!$P$95:$P$96</definedName>
    <definedName name="OSRRefP22x_0" localSheetId="47">'Div 3'!$P$123:$P$132,'Div 3'!$P$134:$P$143,'Div 3'!$P$145,'Div 3'!$P$147:$P$148,'Div 3'!$P$150,'Div 3'!$P$152:$P$153,'Div 3'!$P$155:$P$156,'Div 3'!$P$158:$P$159,'Div 3'!$P$161,'Div 3'!$P$163,'Div 3'!$P$165:$P$166,'Div 3'!$P$168:$P$170,'Div 3'!$P$172,'Div 3'!$P$174,'Div 3'!$P$176,'Div 3'!$P$178,'Div 3'!$P$180,'Div 3'!$P$182:$P$185,'Div 3'!$P$187:$P$190,'Div 3'!$P$192:$P$196,'Div 3'!$P$198:$P$199,'Div 3'!$P$201:$P$209,'Div 3'!$P$211:$P$212,'Div 3'!$P$214,'Div 3'!$P$216:$P$218,'Div 3'!$P$220</definedName>
    <definedName name="OSRRefP22x_0" localSheetId="70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4'!$P$95:$P$96,'Div 4'!$P$98:$P$108,'Div 4'!$P$110:$P$111,'Div 4'!$P$113,'Div 4'!$P$115:$P$117,'Div 4'!$P$119</definedName>
    <definedName name="OSRRefP22x_0" localSheetId="94">'Div 5'!$P$21:$P$30,'Div 5'!$P$32:$P$41,'Div 5'!$P$43,'Div 5'!$P$45,'Div 5'!$P$47,'Div 5'!$P$49:$P$50,'Div 5'!$P$52,'Div 5'!$P$54,'Div 5'!$P$56,'Div 5'!$P$58:$P$61,'Div 5'!$P$63:$P$64,'Div 5'!$P$66</definedName>
    <definedName name="OSRRefP22x_0" localSheetId="61">'Div 6'!$P$50:$P$59,'Div 6'!$P$61:$P$70,'Div 6'!$P$72,'Div 6'!$P$74,'Div 6'!$P$76,'Div 6'!$P$78,'Div 6'!$P$80:$P$81,'Div 6'!$P$83,'Div 6'!$P$85,'Div 6'!$P$87,'Div 6'!$P$89:$P$91,'Div 6'!$P$93,'Div 6'!$P$95</definedName>
    <definedName name="OSRRefP22x_0" localSheetId="2">Summary!$P$150:$P$159,Summary!$P$161:$P$170,Summary!$P$172,Summary!$P$174:$P$175,Summary!$P$177,Summary!$P$179:$P$181,Summary!$P$183:$P$184,Summary!$P$186:$P$187,Summary!$P$189,Summary!$P$191,Summary!$P$193:$P$194,Summary!$P$196:$P$198,Summary!$P$200,Summary!$P$202,Summary!$P$204,Summary!$P$206,Summary!$P$208,Summary!$P$210,Summary!$P$212:$P$215,Summary!$P$217:$P$220,Summary!$P$222:$P$226,Summary!$P$228:$P$229,Summary!$P$231:$P$241,Summary!$P$243:$P$244,Summary!$P$246,Summary!$P$248:$P$250,Summary!$P$252</definedName>
    <definedName name="OSRRefP25x_0" localSheetId="42">'202'!$P$70:$P$72</definedName>
    <definedName name="OSRRefP25x_0" localSheetId="48">'300'!$P$216:$P$219</definedName>
    <definedName name="OSRRefP25x_0" localSheetId="49">'300 &amp; 317'!$P$238:$P$242</definedName>
    <definedName name="OSRRefP25x_0" localSheetId="50">'301'!$P$97:$P$98</definedName>
    <definedName name="OSRRefP25x_0" localSheetId="53">'308'!$P$114:$P$116</definedName>
    <definedName name="OSRRefP25x_0" localSheetId="71">'310 &amp; 491'!$P$119:$P$122</definedName>
    <definedName name="OSRRefP25x_0" localSheetId="54">'311'!$P$113:$P$115</definedName>
    <definedName name="OSRRefP25x_0" localSheetId="57">'315'!$P$145:$P$147</definedName>
    <definedName name="OSRRefP25x_0" localSheetId="60">'316'!$P$80</definedName>
    <definedName name="OSRRefP25x_0" localSheetId="62">'317'!$P$98:$P$99</definedName>
    <definedName name="OSRRefP25x_0" localSheetId="56">'331'!$P$163:$P$165</definedName>
    <definedName name="OSRRefP25x_0" localSheetId="59">'332'!$P$80</definedName>
    <definedName name="OSRRefP25x_0" localSheetId="76">'411'!$P$82:$P$83</definedName>
    <definedName name="OSRRefP25x_0" localSheetId="81">'418'!$P$83</definedName>
    <definedName name="OSRRefP25x_0" localSheetId="83">'423'!$P$52:$P$54</definedName>
    <definedName name="OSRRefP25x_0" localSheetId="86">'455'!$P$21:$P$22</definedName>
    <definedName name="OSRRefP25x_0" localSheetId="72">'491'!$P$115:$P$118</definedName>
    <definedName name="OSRRefP25x_0" localSheetId="95">'501'!$P$69</definedName>
    <definedName name="OSRRefP25x_0" localSheetId="39">'Div 2'!$P$99:$P$101</definedName>
    <definedName name="OSRRefP25x_0" localSheetId="47">'Div 3'!$P$223:$P$226</definedName>
    <definedName name="OSRRefP25x_0" localSheetId="70">'Div 4'!$P$122:$P$125</definedName>
    <definedName name="OSRRefP25x_0" localSheetId="94">'Div 5'!$P$69</definedName>
    <definedName name="OSRRefP25x_0" localSheetId="61">'Div 6'!$P$98:$P$99</definedName>
    <definedName name="OSRRefP25x_0" localSheetId="2">Summary!$P$255:$P$261</definedName>
    <definedName name="OSRRefT13x_0" localSheetId="41">'201'!$T$13</definedName>
    <definedName name="OSRRefT13x_0" localSheetId="42">'202'!$T$13</definedName>
    <definedName name="OSRRefT13x_0" localSheetId="48">'300'!$T$13:$T$76</definedName>
    <definedName name="OSRRefT13x_0" localSheetId="49">'300 &amp; 317'!$T$13:$T$90</definedName>
    <definedName name="OSRRefT13x_0" localSheetId="52">'307'!$T$13:$T$23</definedName>
    <definedName name="OSRRefT13x_0" localSheetId="53">'308'!$T$13:$T$34</definedName>
    <definedName name="OSRRefT13x_0" localSheetId="64">'309'!$T$13</definedName>
    <definedName name="OSRRefT13x_0" localSheetId="63">'310'!$T$13:$T$17</definedName>
    <definedName name="OSRRefT13x_0" localSheetId="71">'310 &amp; 491'!$T$13:$T$21</definedName>
    <definedName name="OSRRefT13x_0" localSheetId="54">'311'!$T$13:$T$33</definedName>
    <definedName name="OSRRefT13x_0" localSheetId="65">'313'!$T$13</definedName>
    <definedName name="OSRRefT13x_0" localSheetId="57">'315'!$T$13:$T$50</definedName>
    <definedName name="OSRRefT13x_0" localSheetId="60">'316'!$T$13:$T$24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'326'!$T$13:$T$33</definedName>
    <definedName name="OSRRefT13x_0" localSheetId="69">'327'!$T$13:$T$14</definedName>
    <definedName name="OSRRefT13x_0" localSheetId="51">'330'!$T$13:$T$23</definedName>
    <definedName name="OSRRefT13x_0" localSheetId="56">'331'!$T$13:$T$50</definedName>
    <definedName name="OSRRefT13x_0" localSheetId="59">'332'!$T$13:$T$24</definedName>
    <definedName name="OSRRefT13x_0" localSheetId="73">'405'!$T$13:$T$14</definedName>
    <definedName name="OSRRefT13x_0" localSheetId="77">'412'!$T$13</definedName>
    <definedName name="OSRRefT13x_0" localSheetId="78">'413'!$T$13:$T$14</definedName>
    <definedName name="OSRRefT13x_0" localSheetId="79">'414'!$T$13:$T$15</definedName>
    <definedName name="OSRRefT13x_0" localSheetId="80">'415'!$T$13:$T$16</definedName>
    <definedName name="OSRRefT13x_0" localSheetId="81">'418'!$T$13:$T$14</definedName>
    <definedName name="OSRRefT13x_0" localSheetId="82">'420'!$T$13</definedName>
    <definedName name="OSRRefT13x_0" localSheetId="89">'433'!$T$13:$T$16</definedName>
    <definedName name="OSRRefT13x_0" localSheetId="91">'444'!$T$13:$T$16</definedName>
    <definedName name="OSRRefT13x_0" localSheetId="93">'450'!$T$13:$T$14</definedName>
    <definedName name="OSRRefT13x_0" localSheetId="72">'491'!$T$13:$T$18</definedName>
    <definedName name="OSRRefT13x_0" localSheetId="87">'492'!$T$13:$T$16</definedName>
    <definedName name="OSRRefT13x_0" localSheetId="95">'501'!$T$13</definedName>
    <definedName name="OSRRefT13x_0" localSheetId="39">'Div 2'!$T$13</definedName>
    <definedName name="OSRRefT13x_0" localSheetId="47">'Div 3'!$T$13:$T$78</definedName>
    <definedName name="OSRRefT13x_0" localSheetId="70">'Div 4'!$T$13:$T$20</definedName>
    <definedName name="OSRRefT13x_0" localSheetId="94">'Div 5'!$T$13</definedName>
    <definedName name="OSRRefT13x_0" localSheetId="61">'Div 6'!$T$13:$T$30</definedName>
    <definedName name="OSRRefT13x_0" localSheetId="2">Summary!$T$13:$T$97</definedName>
    <definedName name="OSRRefT16x_0" localSheetId="48">'300'!$T$79:$T$113</definedName>
    <definedName name="OSRRefT16x_0" localSheetId="49">'300 &amp; 317'!$T$93:$T$135</definedName>
    <definedName name="OSRRefT16x_0" localSheetId="52">'307'!$T$26:$T$33</definedName>
    <definedName name="OSRRefT16x_0" localSheetId="53">'308'!$T$37:$T$51</definedName>
    <definedName name="OSRRefT16x_0" localSheetId="64">'309'!$T$16</definedName>
    <definedName name="OSRRefT16x_0" localSheetId="63">'310'!$T$20:$T$22</definedName>
    <definedName name="OSRRefT16x_0" localSheetId="71">'310 &amp; 491'!$T$24:$T$26</definedName>
    <definedName name="OSRRefT16x_0" localSheetId="54">'311'!$T$36:$T$50</definedName>
    <definedName name="OSRRefT16x_0" localSheetId="65">'313'!$T$16:$T$17</definedName>
    <definedName name="OSRRefT16x_0" localSheetId="57">'315'!$T$53:$T$74</definedName>
    <definedName name="OSRRefT16x_0" localSheetId="62">'317'!$T$33:$T$44</definedName>
    <definedName name="OSRRefT16x_0" localSheetId="66">'321'!$T$18:$T$20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'326'!$T$36:$T$41</definedName>
    <definedName name="OSRRefT16x_0" localSheetId="69">'327'!$T$17:$T$18</definedName>
    <definedName name="OSRRefT16x_0" localSheetId="51">'330'!$T$26:$T$33</definedName>
    <definedName name="OSRRefT16x_0" localSheetId="56">'331'!$T$53:$T$75</definedName>
    <definedName name="OSRRefT16x_0" localSheetId="73">'405'!$T$17:$T$18</definedName>
    <definedName name="OSRRefT16x_0" localSheetId="77">'412'!$T$16</definedName>
    <definedName name="OSRRefT16x_0" localSheetId="78">'413'!$T$17</definedName>
    <definedName name="OSRRefT16x_0" localSheetId="79">'414'!$T$18:$T$19</definedName>
    <definedName name="OSRRefT16x_0" localSheetId="80">'415'!$T$19:$T$21</definedName>
    <definedName name="OSRRefT16x_0" localSheetId="81">'418'!$T$17</definedName>
    <definedName name="OSRRefT16x_0" localSheetId="89">'433'!$T$19:$T$21</definedName>
    <definedName name="OSRRefT16x_0" localSheetId="91">'444'!$T$19:$T$21</definedName>
    <definedName name="OSRRefT16x_0" localSheetId="93">'450'!$T$17</definedName>
    <definedName name="OSRRefT16x_0" localSheetId="72">'491'!$T$21:$T$23</definedName>
    <definedName name="OSRRefT16x_0" localSheetId="87">'492'!$T$19:$T$21</definedName>
    <definedName name="OSRRefT16x_0" localSheetId="47">'Div 3'!$T$81:$T$117</definedName>
    <definedName name="OSRRefT16x_0" localSheetId="70">'Div 4'!$T$23:$T$25</definedName>
    <definedName name="OSRRefT16x_0" localSheetId="61">'Div 6'!$T$33:$T$44</definedName>
    <definedName name="OSRRefT16x_0" localSheetId="2">Summary!$T$100:$T$144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'300'!$T$119:$T$128</definedName>
    <definedName name="OSRRefT22_0x_0" localSheetId="49">'300 &amp; 317'!$T$141:$T$150</definedName>
    <definedName name="OSRRefT22_0x_0" localSheetId="50">'301'!$T$20:$T$29</definedName>
    <definedName name="OSRRefT22_0x_0" localSheetId="52">'307'!$T$39:$T$46</definedName>
    <definedName name="OSRRefT22_0x_0" localSheetId="53">'308'!$T$57:$T$66</definedName>
    <definedName name="OSRRefT22_0x_0" localSheetId="64">'309'!$T$22:$T$29</definedName>
    <definedName name="OSRRefT22_0x_0" localSheetId="63">'310'!$T$28:$T$36</definedName>
    <definedName name="OSRRefT22_0x_0" localSheetId="71">'310 &amp; 491'!$T$32:$T$40</definedName>
    <definedName name="OSRRefT22_0x_0" localSheetId="54">'311'!$T$56:$T$65</definedName>
    <definedName name="OSRRefT22_0x_0" localSheetId="65">'313'!$T$23:$T$31</definedName>
    <definedName name="OSRRefT22_0x_0" localSheetId="57">'315'!$T$80:$T$88</definedName>
    <definedName name="OSRRefT22_0x_0" localSheetId="60">'316'!$T$32:$T$40</definedName>
    <definedName name="OSRRefT22_0x_0" localSheetId="62">'317'!$T$50:$T$59</definedName>
    <definedName name="OSRRefT22_0x_0" localSheetId="66">'321'!$T$26:$T$34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'326'!$T$47:$T$55</definedName>
    <definedName name="OSRRefT22_0x_0" localSheetId="69">'327'!$T$24</definedName>
    <definedName name="OSRRefT22_0x_0" localSheetId="51">'330'!$T$39:$T$46</definedName>
    <definedName name="OSRRefT22_0x_0" localSheetId="56">'331'!$T$81:$T$89</definedName>
    <definedName name="OSRRefT22_0x_0" localSheetId="59">'332'!$T$32:$T$40</definedName>
    <definedName name="OSRRefT22_0x_0" localSheetId="73">'405'!$T$24:$T$31</definedName>
    <definedName name="OSRRefT22_0x_0" localSheetId="74">'406'!$T$20</definedName>
    <definedName name="OSRRefT22_0x_0" localSheetId="76">'411'!$T$20:$T$28</definedName>
    <definedName name="OSRRefT22_0x_0" localSheetId="77">'412'!$T$22:$T$29</definedName>
    <definedName name="OSRRefT22_0x_0" localSheetId="78">'413'!$T$23:$T$31</definedName>
    <definedName name="OSRRefT22_0x_0" localSheetId="79">'414'!$T$25:$T$33</definedName>
    <definedName name="OSRRefT22_0x_0" localSheetId="80">'415'!$T$27:$T$35</definedName>
    <definedName name="OSRRefT22_0x_0" localSheetId="81">'418'!$T$23:$T$30</definedName>
    <definedName name="OSRRefT22_0x_0" localSheetId="82">'420'!$T$21</definedName>
    <definedName name="OSRRefT22_0x_0" localSheetId="83">'423'!$T$20:$T$27</definedName>
    <definedName name="OSRRefT22_0x_0" localSheetId="84">'424'!$T$20</definedName>
    <definedName name="OSRRefT22_0x_0" localSheetId="85">'425'!$T$20:$T$24</definedName>
    <definedName name="OSRRefT22_0x_0" localSheetId="88">'430'!$T$20:$T$28</definedName>
    <definedName name="OSRRefT22_0x_0" localSheetId="89">'433'!$T$27:$T$36</definedName>
    <definedName name="OSRRefT22_0x_0" localSheetId="90">'435'!$T$20</definedName>
    <definedName name="OSRRefT22_0x_0" localSheetId="91">'444'!$T$27:$T$36</definedName>
    <definedName name="OSRRefT22_0x_0" localSheetId="93">'450'!$T$23:$T$32</definedName>
    <definedName name="OSRRefT22_0x_0" localSheetId="72">'491'!$T$29:$T$37</definedName>
    <definedName name="OSRRefT22_0x_0" localSheetId="87">'492'!$T$27:$T$36</definedName>
    <definedName name="OSRRefT22_0x_0" localSheetId="95">'501'!$T$21:$T$30</definedName>
    <definedName name="OSRRefT22_0x_0" localSheetId="39">'Div 2'!$T$21:$T$31</definedName>
    <definedName name="OSRRefT22_0x_0" localSheetId="47">'Div 3'!$T$123:$T$132</definedName>
    <definedName name="OSRRefT22_0x_0" localSheetId="70">'Div 4'!$T$31:$T$40</definedName>
    <definedName name="OSRRefT22_0x_0" localSheetId="94">'Div 5'!$T$21:$T$30</definedName>
    <definedName name="OSRRefT22_0x_0" localSheetId="61">'Div 6'!$T$50:$T$59</definedName>
    <definedName name="OSRRefT22_0x_0" localSheetId="2">Summary!$T$150:$T$159</definedName>
    <definedName name="OSRRefT22_10x_0" localSheetId="41">'201'!$T$59:$T$61</definedName>
    <definedName name="OSRRefT22_10x_0" localSheetId="42">'202'!$T$63</definedName>
    <definedName name="OSRRefT22_10x_0" localSheetId="43">'203'!$T$62</definedName>
    <definedName name="OSRRefT22_10x_0" localSheetId="44">'204'!$T$62:$T$63</definedName>
    <definedName name="OSRRefT22_10x_0" localSheetId="48">'300'!$T$161:$T$162</definedName>
    <definedName name="OSRRefT22_10x_0" localSheetId="49">'300 &amp; 317'!$T$183:$T$184</definedName>
    <definedName name="OSRRefT22_10x_0" localSheetId="50">'301'!$T$60</definedName>
    <definedName name="OSRRefT22_10x_0" localSheetId="52">'307'!$T$77:$T$78</definedName>
    <definedName name="OSRRefT22_10x_0" localSheetId="53">'308'!$T$99:$T$100</definedName>
    <definedName name="OSRRefT22_10x_0" localSheetId="64">'309'!$T$62</definedName>
    <definedName name="OSRRefT22_10x_0" localSheetId="63">'310'!$T$66</definedName>
    <definedName name="OSRRefT22_10x_0" localSheetId="71">'310 &amp; 491'!$T$72</definedName>
    <definedName name="OSRRefT22_10x_0" localSheetId="54">'311'!$T$98:$T$99</definedName>
    <definedName name="OSRRefT22_10x_0" localSheetId="65">'313'!$T$64</definedName>
    <definedName name="OSRRefT22_10x_0" localSheetId="57">'315'!$T$118</definedName>
    <definedName name="OSRRefT22_10x_0" localSheetId="60">'316'!$T$75</definedName>
    <definedName name="OSRRefT22_10x_0" localSheetId="62">'317'!$T$89:$T$91</definedName>
    <definedName name="OSRRefT22_10x_0" localSheetId="66">'321'!$T$66:$T$68</definedName>
    <definedName name="OSRRefT22_10x_0" localSheetId="67">'322'!$T$64</definedName>
    <definedName name="OSRRefT22_10x_0" localSheetId="68">'325'!$T$62</definedName>
    <definedName name="OSRRefT22_10x_0" localSheetId="58">'326'!$T$85</definedName>
    <definedName name="OSRRefT22_10x_0" localSheetId="51">'330'!$T$77:$T$78</definedName>
    <definedName name="OSRRefT22_10x_0" localSheetId="56">'331'!$T$120</definedName>
    <definedName name="OSRRefT22_10x_0" localSheetId="59">'332'!$T$75</definedName>
    <definedName name="OSRRefT22_10x_0" localSheetId="73">'405'!$T$62</definedName>
    <definedName name="OSRRefT22_10x_0" localSheetId="76">'411'!$T$60:$T$63</definedName>
    <definedName name="OSRRefT22_10x_0" localSheetId="77">'412'!$T$60:$T$63</definedName>
    <definedName name="OSRRefT22_10x_0" localSheetId="78">'413'!$T$64:$T$71</definedName>
    <definedName name="OSRRefT22_10x_0" localSheetId="79">'414'!$T$63</definedName>
    <definedName name="OSRRefT22_10x_0" localSheetId="80">'415'!$T$65</definedName>
    <definedName name="OSRRefT22_10x_0" localSheetId="81">'418'!$T$63:$T$64</definedName>
    <definedName name="OSRRefT22_10x_0" localSheetId="89">'433'!$T$65</definedName>
    <definedName name="OSRRefT22_10x_0" localSheetId="91">'444'!$T$65</definedName>
    <definedName name="OSRRefT22_10x_0" localSheetId="93">'450'!$T$61</definedName>
    <definedName name="OSRRefT22_10x_0" localSheetId="72">'491'!$T$68</definedName>
    <definedName name="OSRRefT22_10x_0" localSheetId="87">'492'!$T$65</definedName>
    <definedName name="OSRRefT22_10x_0" localSheetId="95">'501'!$T$63:$T$64</definedName>
    <definedName name="OSRRefT22_10x_0" localSheetId="39">'Div 2'!$T$63</definedName>
    <definedName name="OSRRefT22_10x_0" localSheetId="47">'Div 3'!$T$165:$T$166</definedName>
    <definedName name="OSRRefT22_10x_0" localSheetId="70">'Div 4'!$T$71</definedName>
    <definedName name="OSRRefT22_10x_0" localSheetId="94">'Div 5'!$T$63:$T$64</definedName>
    <definedName name="OSRRefT22_10x_0" localSheetId="61">'Div 6'!$T$89:$T$91</definedName>
    <definedName name="OSRRefT22_10x_0" localSheetId="2">Summary!$T$193:$T$194</definedName>
    <definedName name="OSRRefT22_11x_0" localSheetId="41">'201'!$T$63</definedName>
    <definedName name="OSRRefT22_11x_0" localSheetId="42">'202'!$T$65</definedName>
    <definedName name="OSRRefT22_11x_0" localSheetId="43">'203'!$T$64:$T$66</definedName>
    <definedName name="OSRRefT22_11x_0" localSheetId="44">'204'!$T$65</definedName>
    <definedName name="OSRRefT22_11x_0" localSheetId="48">'300'!$T$164:$T$166</definedName>
    <definedName name="OSRRefT22_11x_0" localSheetId="49">'300 &amp; 317'!$T$186:$T$188</definedName>
    <definedName name="OSRRefT22_11x_0" localSheetId="50">'301'!$T$62</definedName>
    <definedName name="OSRRefT22_11x_0" localSheetId="52">'307'!$T$80:$T$83</definedName>
    <definedName name="OSRRefT22_11x_0" localSheetId="53">'308'!$T$102:$T$104</definedName>
    <definedName name="OSRRefT22_11x_0" localSheetId="63">'310'!$T$68</definedName>
    <definedName name="OSRRefT22_11x_0" localSheetId="71">'310 &amp; 491'!$T$74</definedName>
    <definedName name="OSRRefT22_11x_0" localSheetId="54">'311'!$T$101:$T$103</definedName>
    <definedName name="OSRRefT22_11x_0" localSheetId="65">'313'!$T$66</definedName>
    <definedName name="OSRRefT22_11x_0" localSheetId="57">'315'!$T$120</definedName>
    <definedName name="OSRRefT22_11x_0" localSheetId="60">'316'!$T$77</definedName>
    <definedName name="OSRRefT22_11x_0" localSheetId="62">'317'!$T$93</definedName>
    <definedName name="OSRRefT22_11x_0" localSheetId="66">'321'!$T$70:$T$71</definedName>
    <definedName name="OSRRefT22_11x_0" localSheetId="67">'322'!$T$66</definedName>
    <definedName name="OSRRefT22_11x_0" localSheetId="68">'325'!$T$64:$T$67</definedName>
    <definedName name="OSRRefT22_11x_0" localSheetId="58">'326'!$T$87</definedName>
    <definedName name="OSRRefT22_11x_0" localSheetId="51">'330'!$T$80:$T$83</definedName>
    <definedName name="OSRRefT22_11x_0" localSheetId="56">'331'!$T$122</definedName>
    <definedName name="OSRRefT22_11x_0" localSheetId="59">'332'!$T$77</definedName>
    <definedName name="OSRRefT22_11x_0" localSheetId="73">'405'!$T$64:$T$67</definedName>
    <definedName name="OSRRefT22_11x_0" localSheetId="76">'411'!$T$65</definedName>
    <definedName name="OSRRefT22_11x_0" localSheetId="77">'412'!$T$65:$T$69</definedName>
    <definedName name="OSRRefT22_11x_0" localSheetId="78">'413'!$T$73:$T$74</definedName>
    <definedName name="OSRRefT22_11x_0" localSheetId="79">'414'!$T$65</definedName>
    <definedName name="OSRRefT22_11x_0" localSheetId="80">'415'!$T$67:$T$68</definedName>
    <definedName name="OSRRefT22_11x_0" localSheetId="81">'418'!$T$66:$T$75</definedName>
    <definedName name="OSRRefT22_11x_0" localSheetId="89">'433'!$T$67:$T$69</definedName>
    <definedName name="OSRRefT22_11x_0" localSheetId="91">'444'!$T$67:$T$70</definedName>
    <definedName name="OSRRefT22_11x_0" localSheetId="93">'450'!$T$63</definedName>
    <definedName name="OSRRefT22_11x_0" localSheetId="72">'491'!$T$70</definedName>
    <definedName name="OSRRefT22_11x_0" localSheetId="87">'492'!$T$67</definedName>
    <definedName name="OSRRefT22_11x_0" localSheetId="95">'501'!$T$66</definedName>
    <definedName name="OSRRefT22_11x_0" localSheetId="39">'Div 2'!$T$65:$T$66</definedName>
    <definedName name="OSRRefT22_11x_0" localSheetId="47">'Div 3'!$T$168:$T$170</definedName>
    <definedName name="OSRRefT22_11x_0" localSheetId="70">'Div 4'!$T$73</definedName>
    <definedName name="OSRRefT22_11x_0" localSheetId="94">'Div 5'!$T$66</definedName>
    <definedName name="OSRRefT22_11x_0" localSheetId="61">'Div 6'!$T$93</definedName>
    <definedName name="OSRRefT22_11x_0" localSheetId="2">Summary!$T$196:$T$198</definedName>
    <definedName name="OSRRefT22_12x_0" localSheetId="41">'201'!$T$65</definedName>
    <definedName name="OSRRefT22_12x_0" localSheetId="42">'202'!$T$67</definedName>
    <definedName name="OSRRefT22_12x_0" localSheetId="43">'203'!$T$68</definedName>
    <definedName name="OSRRefT22_12x_0" localSheetId="44">'204'!$T$67</definedName>
    <definedName name="OSRRefT22_12x_0" localSheetId="48">'300'!$T$168</definedName>
    <definedName name="OSRRefT22_12x_0" localSheetId="49">'300 &amp; 317'!$T$190</definedName>
    <definedName name="OSRRefT22_12x_0" localSheetId="50">'301'!$T$64</definedName>
    <definedName name="OSRRefT22_12x_0" localSheetId="52">'307'!$T$85:$T$86</definedName>
    <definedName name="OSRRefT22_12x_0" localSheetId="53">'308'!$T$106:$T$107</definedName>
    <definedName name="OSRRefT22_12x_0" localSheetId="63">'310'!$T$70</definedName>
    <definedName name="OSRRefT22_12x_0" localSheetId="71">'310 &amp; 491'!$T$76</definedName>
    <definedName name="OSRRefT22_12x_0" localSheetId="54">'311'!$T$105:$T$106</definedName>
    <definedName name="OSRRefT22_12x_0" localSheetId="57">'315'!$T$122:$T$124</definedName>
    <definedName name="OSRRefT22_12x_0" localSheetId="62">'317'!$T$95</definedName>
    <definedName name="OSRRefT22_12x_0" localSheetId="66">'321'!$T$73</definedName>
    <definedName name="OSRRefT22_12x_0" localSheetId="68">'325'!$T$69:$T$71</definedName>
    <definedName name="OSRRefT22_12x_0" localSheetId="58">'326'!$T$89</definedName>
    <definedName name="OSRRefT22_12x_0" localSheetId="51">'330'!$T$85:$T$86</definedName>
    <definedName name="OSRRefT22_12x_0" localSheetId="56">'331'!$T$124</definedName>
    <definedName name="OSRRefT22_12x_0" localSheetId="73">'405'!$T$69</definedName>
    <definedName name="OSRRefT22_12x_0" localSheetId="76">'411'!$T$67:$T$73</definedName>
    <definedName name="OSRRefT22_12x_0" localSheetId="77">'412'!$T$71:$T$72</definedName>
    <definedName name="OSRRefT22_12x_0" localSheetId="78">'413'!$T$76</definedName>
    <definedName name="OSRRefT22_12x_0" localSheetId="79">'414'!$T$67:$T$69</definedName>
    <definedName name="OSRRefT22_12x_0" localSheetId="80">'415'!$T$70:$T$74</definedName>
    <definedName name="OSRRefT22_12x_0" localSheetId="81">'418'!$T$77:$T$78</definedName>
    <definedName name="OSRRefT22_12x_0" localSheetId="89">'433'!$T$71:$T$74</definedName>
    <definedName name="OSRRefT22_12x_0" localSheetId="91">'444'!$T$72:$T$75</definedName>
    <definedName name="OSRRefT22_12x_0" localSheetId="93">'450'!$T$65</definedName>
    <definedName name="OSRRefT22_12x_0" localSheetId="72">'491'!$T$72</definedName>
    <definedName name="OSRRefT22_12x_0" localSheetId="87">'492'!$T$69:$T$72</definedName>
    <definedName name="OSRRefT22_12x_0" localSheetId="39">'Div 2'!$T$68:$T$71</definedName>
    <definedName name="OSRRefT22_12x_0" localSheetId="47">'Div 3'!$T$172</definedName>
    <definedName name="OSRRefT22_12x_0" localSheetId="70">'Div 4'!$T$75</definedName>
    <definedName name="OSRRefT22_12x_0" localSheetId="61">'Div 6'!$T$95</definedName>
    <definedName name="OSRRefT22_12x_0" localSheetId="2">Summary!$T$200</definedName>
    <definedName name="OSRRefT22_13x_0" localSheetId="41">'201'!$T$67:$T$69</definedName>
    <definedName name="OSRRefT22_13x_0" localSheetId="43">'203'!$T$70</definedName>
    <definedName name="OSRRefT22_13x_0" localSheetId="48">'300'!$T$170</definedName>
    <definedName name="OSRRefT22_13x_0" localSheetId="49">'300 &amp; 317'!$T$192</definedName>
    <definedName name="OSRRefT22_13x_0" localSheetId="50">'301'!$T$66</definedName>
    <definedName name="OSRRefT22_13x_0" localSheetId="52">'307'!$T$88</definedName>
    <definedName name="OSRRefT22_13x_0" localSheetId="53">'308'!$T$109</definedName>
    <definedName name="OSRRefT22_13x_0" localSheetId="63">'310'!$T$72:$T$75</definedName>
    <definedName name="OSRRefT22_13x_0" localSheetId="71">'310 &amp; 491'!$T$78:$T$81</definedName>
    <definedName name="OSRRefT22_13x_0" localSheetId="54">'311'!$T$108</definedName>
    <definedName name="OSRRefT22_13x_0" localSheetId="57">'315'!$T$126:$T$127</definedName>
    <definedName name="OSRRefT22_13x_0" localSheetId="66">'321'!$T$75</definedName>
    <definedName name="OSRRefT22_13x_0" localSheetId="68">'325'!$T$73</definedName>
    <definedName name="OSRRefT22_13x_0" localSheetId="58">'326'!$T$91:$T$93</definedName>
    <definedName name="OSRRefT22_13x_0" localSheetId="51">'330'!$T$88</definedName>
    <definedName name="OSRRefT22_13x_0" localSheetId="56">'331'!$T$126</definedName>
    <definedName name="OSRRefT22_13x_0" localSheetId="73">'405'!$T$71:$T$79</definedName>
    <definedName name="OSRRefT22_13x_0" localSheetId="76">'411'!$T$75</definedName>
    <definedName name="OSRRefT22_13x_0" localSheetId="77">'412'!$T$74</definedName>
    <definedName name="OSRRefT22_13x_0" localSheetId="79">'414'!$T$71</definedName>
    <definedName name="OSRRefT22_13x_0" localSheetId="80">'415'!$T$76</definedName>
    <definedName name="OSRRefT22_13x_0" localSheetId="81">'418'!$T$80</definedName>
    <definedName name="OSRRefT22_13x_0" localSheetId="89">'433'!$T$76:$T$83</definedName>
    <definedName name="OSRRefT22_13x_0" localSheetId="91">'444'!$T$77</definedName>
    <definedName name="OSRRefT22_13x_0" localSheetId="93">'450'!$T$67:$T$69</definedName>
    <definedName name="OSRRefT22_13x_0" localSheetId="72">'491'!$T$74:$T$77</definedName>
    <definedName name="OSRRefT22_13x_0" localSheetId="87">'492'!$T$74:$T$77</definedName>
    <definedName name="OSRRefT22_13x_0" localSheetId="39">'Div 2'!$T$73:$T$76</definedName>
    <definedName name="OSRRefT22_13x_0" localSheetId="47">'Div 3'!$T$174</definedName>
    <definedName name="OSRRefT22_13x_0" localSheetId="70">'Div 4'!$T$77</definedName>
    <definedName name="OSRRefT22_13x_0" localSheetId="2">Summary!$T$202</definedName>
    <definedName name="OSRRefT22_14x_0" localSheetId="41">'201'!$T$71</definedName>
    <definedName name="OSRRefT22_14x_0" localSheetId="43">'203'!$T$72</definedName>
    <definedName name="OSRRefT22_14x_0" localSheetId="48">'300'!$T$172</definedName>
    <definedName name="OSRRefT22_14x_0" localSheetId="49">'300 &amp; 317'!$T$194</definedName>
    <definedName name="OSRRefT22_14x_0" localSheetId="50">'301'!$T$68:$T$71</definedName>
    <definedName name="OSRRefT22_14x_0" localSheetId="53">'308'!$T$111</definedName>
    <definedName name="OSRRefT22_14x_0" localSheetId="63">'310'!$T$77:$T$78</definedName>
    <definedName name="OSRRefT22_14x_0" localSheetId="71">'310 &amp; 491'!$T$83:$T$84</definedName>
    <definedName name="OSRRefT22_14x_0" localSheetId="54">'311'!$T$110</definedName>
    <definedName name="OSRRefT22_14x_0" localSheetId="57">'315'!$T$129:$T$135</definedName>
    <definedName name="OSRRefT22_14x_0" localSheetId="68">'325'!$T$75:$T$79</definedName>
    <definedName name="OSRRefT22_14x_0" localSheetId="58">'326'!$T$95:$T$97</definedName>
    <definedName name="OSRRefT22_14x_0" localSheetId="56">'331'!$T$128:$T$130</definedName>
    <definedName name="OSRRefT22_14x_0" localSheetId="73">'405'!$T$81</definedName>
    <definedName name="OSRRefT22_14x_0" localSheetId="76">'411'!$T$77</definedName>
    <definedName name="OSRRefT22_14x_0" localSheetId="79">'414'!$T$73</definedName>
    <definedName name="OSRRefT22_14x_0" localSheetId="80">'415'!$T$78:$T$85</definedName>
    <definedName name="OSRRefT22_14x_0" localSheetId="89">'433'!$T$85</definedName>
    <definedName name="OSRRefT22_14x_0" localSheetId="91">'444'!$T$79:$T$87</definedName>
    <definedName name="OSRRefT22_14x_0" localSheetId="93">'450'!$T$71:$T$77</definedName>
    <definedName name="OSRRefT22_14x_0" localSheetId="72">'491'!$T$79:$T$80</definedName>
    <definedName name="OSRRefT22_14x_0" localSheetId="87">'492'!$T$79</definedName>
    <definedName name="OSRRefT22_14x_0" localSheetId="39">'Div 2'!$T$78:$T$79</definedName>
    <definedName name="OSRRefT22_14x_0" localSheetId="47">'Div 3'!$T$176</definedName>
    <definedName name="OSRRefT22_14x_0" localSheetId="70">'Div 4'!$T$79</definedName>
    <definedName name="OSRRefT22_14x_0" localSheetId="2">Summary!$T$204</definedName>
    <definedName name="OSRRefT22_15x_0" localSheetId="41">'201'!$T$73</definedName>
    <definedName name="OSRRefT22_15x_0" localSheetId="48">'300'!$T$174</definedName>
    <definedName name="OSRRefT22_15x_0" localSheetId="49">'300 &amp; 317'!$T$196</definedName>
    <definedName name="OSRRefT22_15x_0" localSheetId="50">'301'!$T$73:$T$75</definedName>
    <definedName name="OSRRefT22_15x_0" localSheetId="63">'310'!$T$80:$T$83</definedName>
    <definedName name="OSRRefT22_15x_0" localSheetId="71">'310 &amp; 491'!$T$86:$T$90</definedName>
    <definedName name="OSRRefT22_15x_0" localSheetId="57">'315'!$T$137</definedName>
    <definedName name="OSRRefT22_15x_0" localSheetId="68">'325'!$T$81:$T$82</definedName>
    <definedName name="OSRRefT22_15x_0" localSheetId="58">'326'!$T$99:$T$100</definedName>
    <definedName name="OSRRefT22_15x_0" localSheetId="56">'331'!$T$132:$T$134</definedName>
    <definedName name="OSRRefT22_15x_0" localSheetId="73">'405'!$T$83</definedName>
    <definedName name="OSRRefT22_15x_0" localSheetId="76">'411'!$T$79</definedName>
    <definedName name="OSRRefT22_15x_0" localSheetId="79">'414'!$T$75</definedName>
    <definedName name="OSRRefT22_15x_0" localSheetId="80">'415'!$T$87:$T$88</definedName>
    <definedName name="OSRRefT22_15x_0" localSheetId="89">'433'!$T$87</definedName>
    <definedName name="OSRRefT22_15x_0" localSheetId="91">'444'!$T$89:$T$90</definedName>
    <definedName name="OSRRefT22_15x_0" localSheetId="93">'450'!$T$79:$T$80</definedName>
    <definedName name="OSRRefT22_15x_0" localSheetId="72">'491'!$T$82:$T$86</definedName>
    <definedName name="OSRRefT22_15x_0" localSheetId="87">'492'!$T$81:$T$90</definedName>
    <definedName name="OSRRefT22_15x_0" localSheetId="39">'Div 2'!$T$81:$T$82</definedName>
    <definedName name="OSRRefT22_15x_0" localSheetId="47">'Div 3'!$T$178</definedName>
    <definedName name="OSRRefT22_15x_0" localSheetId="70">'Div 4'!$T$81:$T$84</definedName>
    <definedName name="OSRRefT22_15x_0" localSheetId="2">Summary!$T$206</definedName>
    <definedName name="OSRRefT22_16x_0" localSheetId="41">'201'!$T$75</definedName>
    <definedName name="OSRRefT22_16x_0" localSheetId="48">'300'!$T$176:$T$179</definedName>
    <definedName name="OSRRefT22_16x_0" localSheetId="49">'300 &amp; 317'!$T$198:$T$201</definedName>
    <definedName name="OSRRefT22_16x_0" localSheetId="50">'301'!$T$77</definedName>
    <definedName name="OSRRefT22_16x_0" localSheetId="63">'310'!$T$85</definedName>
    <definedName name="OSRRefT22_16x_0" localSheetId="71">'310 &amp; 491'!$T$92:$T$93</definedName>
    <definedName name="OSRRefT22_16x_0" localSheetId="57">'315'!$T$139</definedName>
    <definedName name="OSRRefT22_16x_0" localSheetId="68">'325'!$T$84</definedName>
    <definedName name="OSRRefT22_16x_0" localSheetId="58">'326'!$T$102:$T$107</definedName>
    <definedName name="OSRRefT22_16x_0" localSheetId="56">'331'!$T$136:$T$138</definedName>
    <definedName name="OSRRefT22_16x_0" localSheetId="73">'405'!$T$85</definedName>
    <definedName name="OSRRefT22_16x_0" localSheetId="80">'415'!$T$90</definedName>
    <definedName name="OSRRefT22_16x_0" localSheetId="91">'444'!$T$92</definedName>
    <definedName name="OSRRefT22_16x_0" localSheetId="93">'450'!$T$82</definedName>
    <definedName name="OSRRefT22_16x_0" localSheetId="72">'491'!$T$88:$T$89</definedName>
    <definedName name="OSRRefT22_16x_0" localSheetId="87">'492'!$T$92:$T$93</definedName>
    <definedName name="OSRRefT22_16x_0" localSheetId="39">'Div 2'!$T$84:$T$88</definedName>
    <definedName name="OSRRefT22_16x_0" localSheetId="47">'Div 3'!$T$180</definedName>
    <definedName name="OSRRefT22_16x_0" localSheetId="70">'Div 4'!$T$86:$T$87</definedName>
    <definedName name="OSRRefT22_16x_0" localSheetId="2">Summary!$T$208</definedName>
    <definedName name="OSRRefT22_17x_0" localSheetId="48">'300'!$T$181:$T$184</definedName>
    <definedName name="OSRRefT22_17x_0" localSheetId="49">'300 &amp; 317'!$T$203:$T$206</definedName>
    <definedName name="OSRRefT22_17x_0" localSheetId="50">'301'!$T$79:$T$85</definedName>
    <definedName name="OSRRefT22_17x_0" localSheetId="63">'310'!$T$87:$T$93</definedName>
    <definedName name="OSRRefT22_17x_0" localSheetId="71">'310 &amp; 491'!$T$95:$T$105</definedName>
    <definedName name="OSRRefT22_17x_0" localSheetId="57">'315'!$T$141:$T$142</definedName>
    <definedName name="OSRRefT22_17x_0" localSheetId="68">'325'!$T$86</definedName>
    <definedName name="OSRRefT22_17x_0" localSheetId="58">'326'!$T$109:$T$110</definedName>
    <definedName name="OSRRefT22_17x_0" localSheetId="56">'331'!$T$140:$T$141</definedName>
    <definedName name="OSRRefT22_17x_0" localSheetId="73">'405'!$T$87</definedName>
    <definedName name="OSRRefT22_17x_0" localSheetId="80">'415'!$T$92:$T$93</definedName>
    <definedName name="OSRRefT22_17x_0" localSheetId="72">'491'!$T$91:$T$101</definedName>
    <definedName name="OSRRefT22_17x_0" localSheetId="87">'492'!$T$95</definedName>
    <definedName name="OSRRefT22_17x_0" localSheetId="39">'Div 2'!$T$90:$T$91</definedName>
    <definedName name="OSRRefT22_17x_0" localSheetId="47">'Div 3'!$T$182:$T$185</definedName>
    <definedName name="OSRRefT22_17x_0" localSheetId="70">'Div 4'!$T$89:$T$93</definedName>
    <definedName name="OSRRefT22_17x_0" localSheetId="2">Summary!$T$210</definedName>
    <definedName name="OSRRefT22_18x_0" localSheetId="48">'300'!$T$186:$T$189</definedName>
    <definedName name="OSRRefT22_18x_0" localSheetId="49">'300 &amp; 317'!$T$208:$T$211</definedName>
    <definedName name="OSRRefT22_18x_0" localSheetId="50">'301'!$T$87</definedName>
    <definedName name="OSRRefT22_18x_0" localSheetId="63">'310'!$T$95:$T$96</definedName>
    <definedName name="OSRRefT22_18x_0" localSheetId="71">'310 &amp; 491'!$T$107:$T$108</definedName>
    <definedName name="OSRRefT22_18x_0" localSheetId="58">'326'!$T$112</definedName>
    <definedName name="OSRRefT22_18x_0" localSheetId="56">'331'!$T$143:$T$150</definedName>
    <definedName name="OSRRefT22_18x_0" localSheetId="80">'415'!$T$95</definedName>
    <definedName name="OSRRefT22_18x_0" localSheetId="72">'491'!$T$103:$T$104</definedName>
    <definedName name="OSRRefT22_18x_0" localSheetId="87">'492'!$T$97</definedName>
    <definedName name="OSRRefT22_18x_0" localSheetId="39">'Div 2'!$T$93</definedName>
    <definedName name="OSRRefT22_18x_0" localSheetId="47">'Div 3'!$T$187:$T$190</definedName>
    <definedName name="OSRRefT22_18x_0" localSheetId="70">'Div 4'!$T$95:$T$96</definedName>
    <definedName name="OSRRefT22_18x_0" localSheetId="2">Summary!$T$212:$T$215</definedName>
    <definedName name="OSRRefT22_19x_0" localSheetId="48">'300'!$T$191:$T$192</definedName>
    <definedName name="OSRRefT22_19x_0" localSheetId="49">'300 &amp; 317'!$T$213:$T$214</definedName>
    <definedName name="OSRRefT22_19x_0" localSheetId="50">'301'!$T$89</definedName>
    <definedName name="OSRRefT22_19x_0" localSheetId="63">'310'!$T$98</definedName>
    <definedName name="OSRRefT22_19x_0" localSheetId="71">'310 &amp; 491'!$T$110</definedName>
    <definedName name="OSRRefT22_19x_0" localSheetId="58">'326'!$T$114:$T$115</definedName>
    <definedName name="OSRRefT22_19x_0" localSheetId="56">'331'!$T$152:$T$153</definedName>
    <definedName name="OSRRefT22_19x_0" localSheetId="72">'491'!$T$106</definedName>
    <definedName name="OSRRefT22_19x_0" localSheetId="39">'Div 2'!$T$95:$T$96</definedName>
    <definedName name="OSRRefT22_19x_0" localSheetId="47">'Div 3'!$T$192:$T$196</definedName>
    <definedName name="OSRRefT22_19x_0" localSheetId="70">'Div 4'!$T$98:$T$108</definedName>
    <definedName name="OSRRefT22_19x_0" localSheetId="2">Summary!$T$217:$T$220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'300'!$T$130:$T$139</definedName>
    <definedName name="OSRRefT22_1x_0" localSheetId="49">'300 &amp; 317'!$T$152:$T$161</definedName>
    <definedName name="OSRRefT22_1x_0" localSheetId="50">'301'!$T$31:$T$40</definedName>
    <definedName name="OSRRefT22_1x_0" localSheetId="52">'307'!$T$48:$T$57</definedName>
    <definedName name="OSRRefT22_1x_0" localSheetId="53">'308'!$T$68:$T$77</definedName>
    <definedName name="OSRRefT22_1x_0" localSheetId="64">'309'!$T$31:$T$40</definedName>
    <definedName name="OSRRefT22_1x_0" localSheetId="63">'310'!$T$38:$T$47</definedName>
    <definedName name="OSRRefT22_1x_0" localSheetId="71">'310 &amp; 491'!$T$42:$T$51</definedName>
    <definedName name="OSRRefT22_1x_0" localSheetId="54">'311'!$T$67:$T$76</definedName>
    <definedName name="OSRRefT22_1x_0" localSheetId="65">'313'!$T$33:$T$42</definedName>
    <definedName name="OSRRefT22_1x_0" localSheetId="57">'315'!$T$90:$T$99</definedName>
    <definedName name="OSRRefT22_1x_0" localSheetId="60">'316'!$T$42:$T$51</definedName>
    <definedName name="OSRRefT22_1x_0" localSheetId="62">'317'!$T$61:$T$70</definedName>
    <definedName name="OSRRefT22_1x_0" localSheetId="66">'321'!$T$36:$T$45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'326'!$T$57:$T$66</definedName>
    <definedName name="OSRRefT22_1x_0" localSheetId="51">'330'!$T$48:$T$57</definedName>
    <definedName name="OSRRefT22_1x_0" localSheetId="56">'331'!$T$91:$T$100</definedName>
    <definedName name="OSRRefT22_1x_0" localSheetId="59">'332'!$T$42:$T$51</definedName>
    <definedName name="OSRRefT22_1x_0" localSheetId="73">'405'!$T$33:$T$42</definedName>
    <definedName name="OSRRefT22_1x_0" localSheetId="74">'406'!$T$22</definedName>
    <definedName name="OSRRefT22_1x_0" localSheetId="76">'411'!$T$30:$T$39</definedName>
    <definedName name="OSRRefT22_1x_0" localSheetId="77">'412'!$T$31:$T$40</definedName>
    <definedName name="OSRRefT22_1x_0" localSheetId="78">'413'!$T$33:$T$42</definedName>
    <definedName name="OSRRefT22_1x_0" localSheetId="79">'414'!$T$35:$T$44</definedName>
    <definedName name="OSRRefT22_1x_0" localSheetId="80">'415'!$T$37:$T$46</definedName>
    <definedName name="OSRRefT22_1x_0" localSheetId="81">'418'!$T$32:$T$41</definedName>
    <definedName name="OSRRefT22_1x_0" localSheetId="83">'423'!$T$29:$T$38</definedName>
    <definedName name="OSRRefT22_1x_0" localSheetId="84">'424'!$T$22</definedName>
    <definedName name="OSRRefT22_1x_0" localSheetId="85">'425'!$T$26</definedName>
    <definedName name="OSRRefT22_1x_0" localSheetId="88">'430'!$T$30:$T$39</definedName>
    <definedName name="OSRRefT22_1x_0" localSheetId="89">'433'!$T$38:$T$47</definedName>
    <definedName name="OSRRefT22_1x_0" localSheetId="91">'444'!$T$38:$T$47</definedName>
    <definedName name="OSRRefT22_1x_0" localSheetId="93">'450'!$T$34:$T$43</definedName>
    <definedName name="OSRRefT22_1x_0" localSheetId="72">'491'!$T$39:$T$48</definedName>
    <definedName name="OSRRefT22_1x_0" localSheetId="87">'492'!$T$38:$T$47</definedName>
    <definedName name="OSRRefT22_1x_0" localSheetId="95">'501'!$T$32:$T$41</definedName>
    <definedName name="OSRRefT22_1x_0" localSheetId="39">'Div 2'!$T$33:$T$42</definedName>
    <definedName name="OSRRefT22_1x_0" localSheetId="47">'Div 3'!$T$134:$T$143</definedName>
    <definedName name="OSRRefT22_1x_0" localSheetId="70">'Div 4'!$T$42:$T$51</definedName>
    <definedName name="OSRRefT22_1x_0" localSheetId="94">'Div 5'!$T$32:$T$41</definedName>
    <definedName name="OSRRefT22_1x_0" localSheetId="61">'Div 6'!$T$61:$T$70</definedName>
    <definedName name="OSRRefT22_1x_0" localSheetId="2">Summary!$T$161:$T$170</definedName>
    <definedName name="OSRRefT22_20x_0" localSheetId="48">'300'!$T$194:$T$202</definedName>
    <definedName name="OSRRefT22_20x_0" localSheetId="49">'300 &amp; 317'!$T$216:$T$224</definedName>
    <definedName name="OSRRefT22_20x_0" localSheetId="50">'301'!$T$91:$T$92</definedName>
    <definedName name="OSRRefT22_20x_0" localSheetId="63">'310'!$T$100</definedName>
    <definedName name="OSRRefT22_20x_0" localSheetId="71">'310 &amp; 491'!$T$112:$T$114</definedName>
    <definedName name="OSRRefT22_20x_0" localSheetId="58">'326'!$T$117</definedName>
    <definedName name="OSRRefT22_20x_0" localSheetId="56">'331'!$T$155</definedName>
    <definedName name="OSRRefT22_20x_0" localSheetId="72">'491'!$T$108:$T$110</definedName>
    <definedName name="OSRRefT22_20x_0" localSheetId="47">'Div 3'!$T$198:$T$199</definedName>
    <definedName name="OSRRefT22_20x_0" localSheetId="70">'Div 4'!$T$110:$T$111</definedName>
    <definedName name="OSRRefT22_20x_0" localSheetId="2">Summary!$T$222:$T$226</definedName>
    <definedName name="OSRRefT22_21x_0" localSheetId="48">'300'!$T$204:$T$205</definedName>
    <definedName name="OSRRefT22_21x_0" localSheetId="49">'300 &amp; 317'!$T$226:$T$227</definedName>
    <definedName name="OSRRefT22_21x_0" localSheetId="50">'301'!$T$94</definedName>
    <definedName name="OSRRefT22_21x_0" localSheetId="63">'310'!$T$102</definedName>
    <definedName name="OSRRefT22_21x_0" localSheetId="71">'310 &amp; 491'!$T$116</definedName>
    <definedName name="OSRRefT22_21x_0" localSheetId="56">'331'!$T$157:$T$158</definedName>
    <definedName name="OSRRefT22_21x_0" localSheetId="72">'491'!$T$112</definedName>
    <definedName name="OSRRefT22_21x_0" localSheetId="47">'Div 3'!$T$201:$T$209</definedName>
    <definedName name="OSRRefT22_21x_0" localSheetId="70">'Div 4'!$T$113</definedName>
    <definedName name="OSRRefT22_21x_0" localSheetId="2">Summary!$T$228:$T$229</definedName>
    <definedName name="OSRRefT22_22x_0" localSheetId="48">'300'!$T$207</definedName>
    <definedName name="OSRRefT22_22x_0" localSheetId="49">'300 &amp; 317'!$T$229</definedName>
    <definedName name="OSRRefT22_22x_0" localSheetId="56">'331'!$T$160</definedName>
    <definedName name="OSRRefT22_22x_0" localSheetId="47">'Div 3'!$T$211:$T$212</definedName>
    <definedName name="OSRRefT22_22x_0" localSheetId="70">'Div 4'!$T$115:$T$117</definedName>
    <definedName name="OSRRefT22_22x_0" localSheetId="2">Summary!$T$231:$T$241</definedName>
    <definedName name="OSRRefT22_23x_0" localSheetId="48">'300'!$T$209:$T$211</definedName>
    <definedName name="OSRRefT22_23x_0" localSheetId="49">'300 &amp; 317'!$T$231:$T$233</definedName>
    <definedName name="OSRRefT22_23x_0" localSheetId="47">'Div 3'!$T$214</definedName>
    <definedName name="OSRRefT22_23x_0" localSheetId="70">'Div 4'!$T$119</definedName>
    <definedName name="OSRRefT22_23x_0" localSheetId="2">Summary!$T$243:$T$244</definedName>
    <definedName name="OSRRefT22_24x_0" localSheetId="48">'300'!$T$213</definedName>
    <definedName name="OSRRefT22_24x_0" localSheetId="49">'300 &amp; 317'!$T$235</definedName>
    <definedName name="OSRRefT22_24x_0" localSheetId="47">'Div 3'!$T$216:$T$218</definedName>
    <definedName name="OSRRefT22_24x_0" localSheetId="2">Summary!$T$246</definedName>
    <definedName name="OSRRefT22_25x_0" localSheetId="47">'Div 3'!$T$220</definedName>
    <definedName name="OSRRefT22_25x_0" localSheetId="2">Summary!$T$248:$T$250</definedName>
    <definedName name="OSRRefT22_26x_0" localSheetId="2">Summary!$T$252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'300'!$T$141</definedName>
    <definedName name="OSRRefT22_2x_0" localSheetId="49">'300 &amp; 317'!$T$163</definedName>
    <definedName name="OSRRefT22_2x_0" localSheetId="50">'301'!$T$42</definedName>
    <definedName name="OSRRefT22_2x_0" localSheetId="52">'307'!$T$59</definedName>
    <definedName name="OSRRefT22_2x_0" localSheetId="53">'308'!$T$79</definedName>
    <definedName name="OSRRefT22_2x_0" localSheetId="64">'309'!$T$42</definedName>
    <definedName name="OSRRefT22_2x_0" localSheetId="63">'310'!$T$49</definedName>
    <definedName name="OSRRefT22_2x_0" localSheetId="71">'310 &amp; 491'!$T$53</definedName>
    <definedName name="OSRRefT22_2x_0" localSheetId="54">'311'!$T$78</definedName>
    <definedName name="OSRRefT22_2x_0" localSheetId="65">'313'!$T$44</definedName>
    <definedName name="OSRRefT22_2x_0" localSheetId="57">'315'!$T$101</definedName>
    <definedName name="OSRRefT22_2x_0" localSheetId="60">'316'!$T$53</definedName>
    <definedName name="OSRRefT22_2x_0" localSheetId="62">'317'!$T$72</definedName>
    <definedName name="OSRRefT22_2x_0" localSheetId="66">'321'!$T$47</definedName>
    <definedName name="OSRRefT22_2x_0" localSheetId="67">'322'!$T$43</definedName>
    <definedName name="OSRRefT22_2x_0" localSheetId="68">'325'!$T$45</definedName>
    <definedName name="OSRRefT22_2x_0" localSheetId="58">'326'!$T$68</definedName>
    <definedName name="OSRRefT22_2x_0" localSheetId="51">'330'!$T$59</definedName>
    <definedName name="OSRRefT22_2x_0" localSheetId="56">'331'!$T$102</definedName>
    <definedName name="OSRRefT22_2x_0" localSheetId="59">'332'!$T$53</definedName>
    <definedName name="OSRRefT22_2x_0" localSheetId="73">'405'!$T$44</definedName>
    <definedName name="OSRRefT22_2x_0" localSheetId="74">'406'!$T$24</definedName>
    <definedName name="OSRRefT22_2x_0" localSheetId="76">'411'!$T$41</definedName>
    <definedName name="OSRRefT22_2x_0" localSheetId="77">'412'!$T$42</definedName>
    <definedName name="OSRRefT22_2x_0" localSheetId="78">'413'!$T$44</definedName>
    <definedName name="OSRRefT22_2x_0" localSheetId="79">'414'!$T$46</definedName>
    <definedName name="OSRRefT22_2x_0" localSheetId="80">'415'!$T$48</definedName>
    <definedName name="OSRRefT22_2x_0" localSheetId="81">'418'!$T$43</definedName>
    <definedName name="OSRRefT22_2x_0" localSheetId="83">'423'!$T$40</definedName>
    <definedName name="OSRRefT22_2x_0" localSheetId="84">'424'!$T$24</definedName>
    <definedName name="OSRRefT22_2x_0" localSheetId="85">'425'!$T$28</definedName>
    <definedName name="OSRRefT22_2x_0" localSheetId="88">'430'!$T$41</definedName>
    <definedName name="OSRRefT22_2x_0" localSheetId="89">'433'!$T$49</definedName>
    <definedName name="OSRRefT22_2x_0" localSheetId="91">'444'!$T$49</definedName>
    <definedName name="OSRRefT22_2x_0" localSheetId="93">'450'!$T$45</definedName>
    <definedName name="OSRRefT22_2x_0" localSheetId="72">'491'!$T$50</definedName>
    <definedName name="OSRRefT22_2x_0" localSheetId="87">'492'!$T$49</definedName>
    <definedName name="OSRRefT22_2x_0" localSheetId="95">'501'!$T$43</definedName>
    <definedName name="OSRRefT22_2x_0" localSheetId="39">'Div 2'!$T$44</definedName>
    <definedName name="OSRRefT22_2x_0" localSheetId="47">'Div 3'!$T$145</definedName>
    <definedName name="OSRRefT22_2x_0" localSheetId="70">'Div 4'!$T$53</definedName>
    <definedName name="OSRRefT22_2x_0" localSheetId="94">'Div 5'!$T$43</definedName>
    <definedName name="OSRRefT22_2x_0" localSheetId="61">'Div 6'!$T$72</definedName>
    <definedName name="OSRRefT22_2x_0" localSheetId="2">Summary!$T$172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'300'!$T$143:$T$144</definedName>
    <definedName name="OSRRefT22_3x_0" localSheetId="49">'300 &amp; 317'!$T$165:$T$166</definedName>
    <definedName name="OSRRefT22_3x_0" localSheetId="50">'301'!$T$44:$T$45</definedName>
    <definedName name="OSRRefT22_3x_0" localSheetId="52">'307'!$T$61</definedName>
    <definedName name="OSRRefT22_3x_0" localSheetId="53">'308'!$T$81:$T$82</definedName>
    <definedName name="OSRRefT22_3x_0" localSheetId="64">'309'!$T$44</definedName>
    <definedName name="OSRRefT22_3x_0" localSheetId="63">'310'!$T$51</definedName>
    <definedName name="OSRRefT22_3x_0" localSheetId="71">'310 &amp; 491'!$T$55</definedName>
    <definedName name="OSRRefT22_3x_0" localSheetId="54">'311'!$T$80:$T$81</definedName>
    <definedName name="OSRRefT22_3x_0" localSheetId="65">'313'!$T$46</definedName>
    <definedName name="OSRRefT22_3x_0" localSheetId="57">'315'!$T$103</definedName>
    <definedName name="OSRRefT22_3x_0" localSheetId="60">'316'!$T$55</definedName>
    <definedName name="OSRRefT22_3x_0" localSheetId="62">'317'!$T$74</definedName>
    <definedName name="OSRRefT22_3x_0" localSheetId="66">'321'!$T$49</definedName>
    <definedName name="OSRRefT22_3x_0" localSheetId="67">'322'!$T$45</definedName>
    <definedName name="OSRRefT22_3x_0" localSheetId="68">'325'!$T$47</definedName>
    <definedName name="OSRRefT22_3x_0" localSheetId="58">'326'!$T$70</definedName>
    <definedName name="OSRRefT22_3x_0" localSheetId="51">'330'!$T$61</definedName>
    <definedName name="OSRRefT22_3x_0" localSheetId="56">'331'!$T$104</definedName>
    <definedName name="OSRRefT22_3x_0" localSheetId="59">'332'!$T$55</definedName>
    <definedName name="OSRRefT22_3x_0" localSheetId="73">'405'!$T$46</definedName>
    <definedName name="OSRRefT22_3x_0" localSheetId="74">'406'!$T$26</definedName>
    <definedName name="OSRRefT22_3x_0" localSheetId="76">'411'!$T$43</definedName>
    <definedName name="OSRRefT22_3x_0" localSheetId="77">'412'!$T$44</definedName>
    <definedName name="OSRRefT22_3x_0" localSheetId="78">'413'!$T$46</definedName>
    <definedName name="OSRRefT22_3x_0" localSheetId="79">'414'!$T$48</definedName>
    <definedName name="OSRRefT22_3x_0" localSheetId="80">'415'!$T$50</definedName>
    <definedName name="OSRRefT22_3x_0" localSheetId="81">'418'!$T$45</definedName>
    <definedName name="OSRRefT22_3x_0" localSheetId="83">'423'!$T$42:$T$43</definedName>
    <definedName name="OSRRefT22_3x_0" localSheetId="84">'424'!$T$26</definedName>
    <definedName name="OSRRefT22_3x_0" localSheetId="85">'425'!$T$30</definedName>
    <definedName name="OSRRefT22_3x_0" localSheetId="88">'430'!$T$43</definedName>
    <definedName name="OSRRefT22_3x_0" localSheetId="89">'433'!$T$51</definedName>
    <definedName name="OSRRefT22_3x_0" localSheetId="91">'444'!$T$51</definedName>
    <definedName name="OSRRefT22_3x_0" localSheetId="93">'450'!$T$47</definedName>
    <definedName name="OSRRefT22_3x_0" localSheetId="72">'491'!$T$52</definedName>
    <definedName name="OSRRefT22_3x_0" localSheetId="87">'492'!$T$51</definedName>
    <definedName name="OSRRefT22_3x_0" localSheetId="95">'501'!$T$45</definedName>
    <definedName name="OSRRefT22_3x_0" localSheetId="39">'Div 2'!$T$46</definedName>
    <definedName name="OSRRefT22_3x_0" localSheetId="47">'Div 3'!$T$147:$T$148</definedName>
    <definedName name="OSRRefT22_3x_0" localSheetId="70">'Div 4'!$T$55</definedName>
    <definedName name="OSRRefT22_3x_0" localSheetId="94">'Div 5'!$T$45</definedName>
    <definedName name="OSRRefT22_3x_0" localSheetId="61">'Div 6'!$T$74</definedName>
    <definedName name="OSRRefT22_3x_0" localSheetId="2">Summary!$T$174:$T$175</definedName>
    <definedName name="OSRRefT22_4x_0" localSheetId="40">'200'!$T$28:$T$29</definedName>
    <definedName name="OSRRefT22_4x_0" localSheetId="41">'201'!$T$46:$T$47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'300'!$T$146</definedName>
    <definedName name="OSRRefT22_4x_0" localSheetId="49">'300 &amp; 317'!$T$168</definedName>
    <definedName name="OSRRefT22_4x_0" localSheetId="50">'301'!$T$47</definedName>
    <definedName name="OSRRefT22_4x_0" localSheetId="52">'307'!$T$63</definedName>
    <definedName name="OSRRefT22_4x_0" localSheetId="53">'308'!$T$84</definedName>
    <definedName name="OSRRefT22_4x_0" localSheetId="64">'309'!$T$46</definedName>
    <definedName name="OSRRefT22_4x_0" localSheetId="63">'310'!$T$53</definedName>
    <definedName name="OSRRefT22_4x_0" localSheetId="71">'310 &amp; 491'!$T$57</definedName>
    <definedName name="OSRRefT22_4x_0" localSheetId="54">'311'!$T$83</definedName>
    <definedName name="OSRRefT22_4x_0" localSheetId="65">'313'!$T$48</definedName>
    <definedName name="OSRRefT22_4x_0" localSheetId="57">'315'!$T$105</definedName>
    <definedName name="OSRRefT22_4x_0" localSheetId="60">'316'!$T$57</definedName>
    <definedName name="OSRRefT22_4x_0" localSheetId="62">'317'!$T$76</definedName>
    <definedName name="OSRRefT22_4x_0" localSheetId="66">'321'!$T$51</definedName>
    <definedName name="OSRRefT22_4x_0" localSheetId="67">'322'!$T$47</definedName>
    <definedName name="OSRRefT22_4x_0" localSheetId="68">'325'!$T$49</definedName>
    <definedName name="OSRRefT22_4x_0" localSheetId="58">'326'!$T$72</definedName>
    <definedName name="OSRRefT22_4x_0" localSheetId="51">'330'!$T$63</definedName>
    <definedName name="OSRRefT22_4x_0" localSheetId="56">'331'!$T$106</definedName>
    <definedName name="OSRRefT22_4x_0" localSheetId="59">'332'!$T$57</definedName>
    <definedName name="OSRRefT22_4x_0" localSheetId="73">'405'!$T$48:$T$49</definedName>
    <definedName name="OSRRefT22_4x_0" localSheetId="74">'406'!$T$28</definedName>
    <definedName name="OSRRefT22_4x_0" localSheetId="76">'411'!$T$45:$T$46</definedName>
    <definedName name="OSRRefT22_4x_0" localSheetId="77">'412'!$T$46:$T$47</definedName>
    <definedName name="OSRRefT22_4x_0" localSheetId="78">'413'!$T$48</definedName>
    <definedName name="OSRRefT22_4x_0" localSheetId="79">'414'!$T$50</definedName>
    <definedName name="OSRRefT22_4x_0" localSheetId="80">'415'!$T$52</definedName>
    <definedName name="OSRRefT22_4x_0" localSheetId="81">'418'!$T$47:$T$48</definedName>
    <definedName name="OSRRefT22_4x_0" localSheetId="83">'423'!$T$45</definedName>
    <definedName name="OSRRefT22_4x_0" localSheetId="85">'425'!$T$32:$T$33</definedName>
    <definedName name="OSRRefT22_4x_0" localSheetId="88">'430'!$T$45:$T$47</definedName>
    <definedName name="OSRRefT22_4x_0" localSheetId="89">'433'!$T$53</definedName>
    <definedName name="OSRRefT22_4x_0" localSheetId="91">'444'!$T$53</definedName>
    <definedName name="OSRRefT22_4x_0" localSheetId="93">'450'!$T$49</definedName>
    <definedName name="OSRRefT22_4x_0" localSheetId="72">'491'!$T$54</definedName>
    <definedName name="OSRRefT22_4x_0" localSheetId="87">'492'!$T$53</definedName>
    <definedName name="OSRRefT22_4x_0" localSheetId="95">'501'!$T$47</definedName>
    <definedName name="OSRRefT22_4x_0" localSheetId="39">'Div 2'!$T$48</definedName>
    <definedName name="OSRRefT22_4x_0" localSheetId="47">'Div 3'!$T$150</definedName>
    <definedName name="OSRRefT22_4x_0" localSheetId="70">'Div 4'!$T$57</definedName>
    <definedName name="OSRRefT22_4x_0" localSheetId="94">'Div 5'!$T$47</definedName>
    <definedName name="OSRRefT22_4x_0" localSheetId="61">'Div 6'!$T$76</definedName>
    <definedName name="OSRRefT22_4x_0" localSheetId="2">Summary!$T$177</definedName>
    <definedName name="OSRRefT22_5x_0" localSheetId="41">'201'!$T$49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'300'!$T$148:$T$149</definedName>
    <definedName name="OSRRefT22_5x_0" localSheetId="49">'300 &amp; 317'!$T$170:$T$171</definedName>
    <definedName name="OSRRefT22_5x_0" localSheetId="50">'301'!$T$49:$T$50</definedName>
    <definedName name="OSRRefT22_5x_0" localSheetId="52">'307'!$T$65:$T$66</definedName>
    <definedName name="OSRRefT22_5x_0" localSheetId="53">'308'!$T$86</definedName>
    <definedName name="OSRRefT22_5x_0" localSheetId="64">'309'!$T$48</definedName>
    <definedName name="OSRRefT22_5x_0" localSheetId="63">'310'!$T$55:$T$56</definedName>
    <definedName name="OSRRefT22_5x_0" localSheetId="71">'310 &amp; 491'!$T$59:$T$61</definedName>
    <definedName name="OSRRefT22_5x_0" localSheetId="54">'311'!$T$85</definedName>
    <definedName name="OSRRefT22_5x_0" localSheetId="65">'313'!$T$50</definedName>
    <definedName name="OSRRefT22_5x_0" localSheetId="57">'315'!$T$107</definedName>
    <definedName name="OSRRefT22_5x_0" localSheetId="60">'316'!$T$59</definedName>
    <definedName name="OSRRefT22_5x_0" localSheetId="62">'317'!$T$78</definedName>
    <definedName name="OSRRefT22_5x_0" localSheetId="66">'321'!$T$53</definedName>
    <definedName name="OSRRefT22_5x_0" localSheetId="67">'322'!$T$49</definedName>
    <definedName name="OSRRefT22_5x_0" localSheetId="68">'325'!$T$51:$T$52</definedName>
    <definedName name="OSRRefT22_5x_0" localSheetId="58">'326'!$T$74</definedName>
    <definedName name="OSRRefT22_5x_0" localSheetId="51">'330'!$T$65:$T$66</definedName>
    <definedName name="OSRRefT22_5x_0" localSheetId="56">'331'!$T$108</definedName>
    <definedName name="OSRRefT22_5x_0" localSheetId="59">'332'!$T$59</definedName>
    <definedName name="OSRRefT22_5x_0" localSheetId="73">'405'!$T$51</definedName>
    <definedName name="OSRRefT22_5x_0" localSheetId="76">'411'!$T$48</definedName>
    <definedName name="OSRRefT22_5x_0" localSheetId="77">'412'!$T$49</definedName>
    <definedName name="OSRRefT22_5x_0" localSheetId="78">'413'!$T$50</definedName>
    <definedName name="OSRRefT22_5x_0" localSheetId="79">'414'!$T$52</definedName>
    <definedName name="OSRRefT22_5x_0" localSheetId="80">'415'!$T$54:$T$55</definedName>
    <definedName name="OSRRefT22_5x_0" localSheetId="81">'418'!$T$50</definedName>
    <definedName name="OSRRefT22_5x_0" localSheetId="83">'423'!$T$47</definedName>
    <definedName name="OSRRefT22_5x_0" localSheetId="85">'425'!$T$35</definedName>
    <definedName name="OSRRefT22_5x_0" localSheetId="88">'430'!$T$49:$T$50</definedName>
    <definedName name="OSRRefT22_5x_0" localSheetId="89">'433'!$T$55</definedName>
    <definedName name="OSRRefT22_5x_0" localSheetId="91">'444'!$T$55</definedName>
    <definedName name="OSRRefT22_5x_0" localSheetId="93">'450'!$T$51</definedName>
    <definedName name="OSRRefT22_5x_0" localSheetId="72">'491'!$T$56:$T$58</definedName>
    <definedName name="OSRRefT22_5x_0" localSheetId="87">'492'!$T$55</definedName>
    <definedName name="OSRRefT22_5x_0" localSheetId="95">'501'!$T$49:$T$50</definedName>
    <definedName name="OSRRefT22_5x_0" localSheetId="39">'Div 2'!$T$50:$T$51</definedName>
    <definedName name="OSRRefT22_5x_0" localSheetId="47">'Div 3'!$T$152:$T$153</definedName>
    <definedName name="OSRRefT22_5x_0" localSheetId="70">'Div 4'!$T$59:$T$61</definedName>
    <definedName name="OSRRefT22_5x_0" localSheetId="94">'Div 5'!$T$49:$T$50</definedName>
    <definedName name="OSRRefT22_5x_0" localSheetId="61">'Div 6'!$T$78</definedName>
    <definedName name="OSRRefT22_5x_0" localSheetId="2">Summary!$T$179:$T$181</definedName>
    <definedName name="OSRRefT22_6x_0" localSheetId="41">'201'!$T$51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'205'!$T$50:$T$52</definedName>
    <definedName name="OSRRefT22_6x_0" localSheetId="46">'206'!$T$49</definedName>
    <definedName name="OSRRefT22_6x_0" localSheetId="48">'300'!$T$151:$T$152</definedName>
    <definedName name="OSRRefT22_6x_0" localSheetId="49">'300 &amp; 317'!$T$173:$T$174</definedName>
    <definedName name="OSRRefT22_6x_0" localSheetId="50">'301'!$T$52</definedName>
    <definedName name="OSRRefT22_6x_0" localSheetId="52">'307'!$T$68</definedName>
    <definedName name="OSRRefT22_6x_0" localSheetId="53">'308'!$T$88:$T$89</definedName>
    <definedName name="OSRRefT22_6x_0" localSheetId="64">'309'!$T$50</definedName>
    <definedName name="OSRRefT22_6x_0" localSheetId="63">'310'!$T$58</definedName>
    <definedName name="OSRRefT22_6x_0" localSheetId="71">'310 &amp; 491'!$T$63</definedName>
    <definedName name="OSRRefT22_6x_0" localSheetId="54">'311'!$T$87:$T$88</definedName>
    <definedName name="OSRRefT22_6x_0" localSheetId="65">'313'!$T$52:$T$53</definedName>
    <definedName name="OSRRefT22_6x_0" localSheetId="57">'315'!$T$109</definedName>
    <definedName name="OSRRefT22_6x_0" localSheetId="60">'316'!$T$61:$T$62</definedName>
    <definedName name="OSRRefT22_6x_0" localSheetId="62">'317'!$T$80:$T$81</definedName>
    <definedName name="OSRRefT22_6x_0" localSheetId="66">'321'!$T$55</definedName>
    <definedName name="OSRRefT22_6x_0" localSheetId="67">'322'!$T$51</definedName>
    <definedName name="OSRRefT22_6x_0" localSheetId="68">'325'!$T$54</definedName>
    <definedName name="OSRRefT22_6x_0" localSheetId="58">'326'!$T$76</definedName>
    <definedName name="OSRRefT22_6x_0" localSheetId="51">'330'!$T$68</definedName>
    <definedName name="OSRRefT22_6x_0" localSheetId="56">'331'!$T$110</definedName>
    <definedName name="OSRRefT22_6x_0" localSheetId="59">'332'!$T$61:$T$62</definedName>
    <definedName name="OSRRefT22_6x_0" localSheetId="73">'405'!$T$53</definedName>
    <definedName name="OSRRefT22_6x_0" localSheetId="76">'411'!$T$50</definedName>
    <definedName name="OSRRefT22_6x_0" localSheetId="77">'412'!$T$51</definedName>
    <definedName name="OSRRefT22_6x_0" localSheetId="78">'413'!$T$52</definedName>
    <definedName name="OSRRefT22_6x_0" localSheetId="79">'414'!$T$54</definedName>
    <definedName name="OSRRefT22_6x_0" localSheetId="80">'415'!$T$57</definedName>
    <definedName name="OSRRefT22_6x_0" localSheetId="81">'418'!$T$52</definedName>
    <definedName name="OSRRefT22_6x_0" localSheetId="83">'423'!$T$49</definedName>
    <definedName name="OSRRefT22_6x_0" localSheetId="88">'430'!$T$52</definedName>
    <definedName name="OSRRefT22_6x_0" localSheetId="89">'433'!$T$57</definedName>
    <definedName name="OSRRefT22_6x_0" localSheetId="91">'444'!$T$57</definedName>
    <definedName name="OSRRefT22_6x_0" localSheetId="93">'450'!$T$53</definedName>
    <definedName name="OSRRefT22_6x_0" localSheetId="72">'491'!$T$60</definedName>
    <definedName name="OSRRefT22_6x_0" localSheetId="87">'492'!$T$57</definedName>
    <definedName name="OSRRefT22_6x_0" localSheetId="95">'501'!$T$52</definedName>
    <definedName name="OSRRefT22_6x_0" localSheetId="39">'Div 2'!$T$53:$T$54</definedName>
    <definedName name="OSRRefT22_6x_0" localSheetId="47">'Div 3'!$T$155:$T$156</definedName>
    <definedName name="OSRRefT22_6x_0" localSheetId="70">'Div 4'!$T$63</definedName>
    <definedName name="OSRRefT22_6x_0" localSheetId="94">'Div 5'!$T$52</definedName>
    <definedName name="OSRRefT22_6x_0" localSheetId="61">'Div 6'!$T$80:$T$81</definedName>
    <definedName name="OSRRefT22_6x_0" localSheetId="2">Summary!$T$183:$T$184</definedName>
    <definedName name="OSRRefT22_7x_0" localSheetId="41">'201'!$T$53</definedName>
    <definedName name="OSRRefT22_7x_0" localSheetId="42">'202'!$T$53:$T$55</definedName>
    <definedName name="OSRRefT22_7x_0" localSheetId="43">'203'!$T$52:$T$53</definedName>
    <definedName name="OSRRefT22_7x_0" localSheetId="44">'204'!$T$53:$T$55</definedName>
    <definedName name="OSRRefT22_7x_0" localSheetId="45">'205'!$T$54</definedName>
    <definedName name="OSRRefT22_7x_0" localSheetId="46">'206'!$T$51</definedName>
    <definedName name="OSRRefT22_7x_0" localSheetId="48">'300'!$T$154:$T$155</definedName>
    <definedName name="OSRRefT22_7x_0" localSheetId="49">'300 &amp; 317'!$T$176:$T$177</definedName>
    <definedName name="OSRRefT22_7x_0" localSheetId="50">'301'!$T$54</definedName>
    <definedName name="OSRRefT22_7x_0" localSheetId="52">'307'!$T$70</definedName>
    <definedName name="OSRRefT22_7x_0" localSheetId="53">'308'!$T$91:$T$92</definedName>
    <definedName name="OSRRefT22_7x_0" localSheetId="64">'309'!$T$52:$T$53</definedName>
    <definedName name="OSRRefT22_7x_0" localSheetId="63">'310'!$T$60</definedName>
    <definedName name="OSRRefT22_7x_0" localSheetId="71">'310 &amp; 491'!$T$65</definedName>
    <definedName name="OSRRefT22_7x_0" localSheetId="54">'311'!$T$90:$T$91</definedName>
    <definedName name="OSRRefT22_7x_0" localSheetId="65">'313'!$T$55</definedName>
    <definedName name="OSRRefT22_7x_0" localSheetId="57">'315'!$T$111:$T$112</definedName>
    <definedName name="OSRRefT22_7x_0" localSheetId="60">'316'!$T$64:$T$65</definedName>
    <definedName name="OSRRefT22_7x_0" localSheetId="62">'317'!$T$83</definedName>
    <definedName name="OSRRefT22_7x_0" localSheetId="66">'321'!$T$57:$T$58</definedName>
    <definedName name="OSRRefT22_7x_0" localSheetId="67">'322'!$T$53:$T$54</definedName>
    <definedName name="OSRRefT22_7x_0" localSheetId="68">'325'!$T$56</definedName>
    <definedName name="OSRRefT22_7x_0" localSheetId="58">'326'!$T$78</definedName>
    <definedName name="OSRRefT22_7x_0" localSheetId="51">'330'!$T$70</definedName>
    <definedName name="OSRRefT22_7x_0" localSheetId="56">'331'!$T$112</definedName>
    <definedName name="OSRRefT22_7x_0" localSheetId="59">'332'!$T$64:$T$65</definedName>
    <definedName name="OSRRefT22_7x_0" localSheetId="73">'405'!$T$55</definedName>
    <definedName name="OSRRefT22_7x_0" localSheetId="76">'411'!$T$52</definedName>
    <definedName name="OSRRefT22_7x_0" localSheetId="77">'412'!$T$53</definedName>
    <definedName name="OSRRefT22_7x_0" localSheetId="78">'413'!$T$54</definedName>
    <definedName name="OSRRefT22_7x_0" localSheetId="79">'414'!$T$56</definedName>
    <definedName name="OSRRefT22_7x_0" localSheetId="80">'415'!$T$59</definedName>
    <definedName name="OSRRefT22_7x_0" localSheetId="81">'418'!$T$54</definedName>
    <definedName name="OSRRefT22_7x_0" localSheetId="88">'430'!$T$54</definedName>
    <definedName name="OSRRefT22_7x_0" localSheetId="89">'433'!$T$59</definedName>
    <definedName name="OSRRefT22_7x_0" localSheetId="91">'444'!$T$59</definedName>
    <definedName name="OSRRefT22_7x_0" localSheetId="93">'450'!$T$55</definedName>
    <definedName name="OSRRefT22_7x_0" localSheetId="72">'491'!$T$62</definedName>
    <definedName name="OSRRefT22_7x_0" localSheetId="87">'492'!$T$59</definedName>
    <definedName name="OSRRefT22_7x_0" localSheetId="95">'501'!$T$54</definedName>
    <definedName name="OSRRefT22_7x_0" localSheetId="39">'Div 2'!$T$56</definedName>
    <definedName name="OSRRefT22_7x_0" localSheetId="47">'Div 3'!$T$158:$T$159</definedName>
    <definedName name="OSRRefT22_7x_0" localSheetId="70">'Div 4'!$T$65</definedName>
    <definedName name="OSRRefT22_7x_0" localSheetId="94">'Div 5'!$T$54</definedName>
    <definedName name="OSRRefT22_7x_0" localSheetId="61">'Div 6'!$T$83</definedName>
    <definedName name="OSRRefT22_7x_0" localSheetId="2">Summary!$T$186:$T$187</definedName>
    <definedName name="OSRRefT22_8x_0" localSheetId="41">'201'!$T$55</definedName>
    <definedName name="OSRRefT22_8x_0" localSheetId="42">'202'!$T$57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'300'!$T$157</definedName>
    <definedName name="OSRRefT22_8x_0" localSheetId="49">'300 &amp; 317'!$T$179</definedName>
    <definedName name="OSRRefT22_8x_0" localSheetId="50">'301'!$T$56</definedName>
    <definedName name="OSRRefT22_8x_0" localSheetId="52">'307'!$T$72</definedName>
    <definedName name="OSRRefT22_8x_0" localSheetId="53">'308'!$T$94</definedName>
    <definedName name="OSRRefT22_8x_0" localSheetId="64">'309'!$T$55:$T$56</definedName>
    <definedName name="OSRRefT22_8x_0" localSheetId="63">'310'!$T$62</definedName>
    <definedName name="OSRRefT22_8x_0" localSheetId="71">'310 &amp; 491'!$T$67:$T$68</definedName>
    <definedName name="OSRRefT22_8x_0" localSheetId="54">'311'!$T$93</definedName>
    <definedName name="OSRRefT22_8x_0" localSheetId="65">'313'!$T$57:$T$59</definedName>
    <definedName name="OSRRefT22_8x_0" localSheetId="57">'315'!$T$114</definedName>
    <definedName name="OSRRefT22_8x_0" localSheetId="60">'316'!$T$67</definedName>
    <definedName name="OSRRefT22_8x_0" localSheetId="62">'317'!$T$85</definedName>
    <definedName name="OSRRefT22_8x_0" localSheetId="66">'321'!$T$60:$T$61</definedName>
    <definedName name="OSRRefT22_8x_0" localSheetId="67">'322'!$T$56:$T$57</definedName>
    <definedName name="OSRRefT22_8x_0" localSheetId="68">'325'!$T$58</definedName>
    <definedName name="OSRRefT22_8x_0" localSheetId="58">'326'!$T$80:$T$81</definedName>
    <definedName name="OSRRefT22_8x_0" localSheetId="51">'330'!$T$72</definedName>
    <definedName name="OSRRefT22_8x_0" localSheetId="56">'331'!$T$114:$T$115</definedName>
    <definedName name="OSRRefT22_8x_0" localSheetId="59">'332'!$T$67</definedName>
    <definedName name="OSRRefT22_8x_0" localSheetId="73">'405'!$T$57</definedName>
    <definedName name="OSRRefT22_8x_0" localSheetId="76">'411'!$T$54</definedName>
    <definedName name="OSRRefT22_8x_0" localSheetId="77">'412'!$T$55:$T$56</definedName>
    <definedName name="OSRRefT22_8x_0" localSheetId="78">'413'!$T$56:$T$59</definedName>
    <definedName name="OSRRefT22_8x_0" localSheetId="79">'414'!$T$58:$T$59</definedName>
    <definedName name="OSRRefT22_8x_0" localSheetId="80">'415'!$T$61</definedName>
    <definedName name="OSRRefT22_8x_0" localSheetId="81">'418'!$T$56:$T$58</definedName>
    <definedName name="OSRRefT22_8x_0" localSheetId="89">'433'!$T$61</definedName>
    <definedName name="OSRRefT22_8x_0" localSheetId="91">'444'!$T$61</definedName>
    <definedName name="OSRRefT22_8x_0" localSheetId="93">'450'!$T$57</definedName>
    <definedName name="OSRRefT22_8x_0" localSheetId="72">'491'!$T$64</definedName>
    <definedName name="OSRRefT22_8x_0" localSheetId="87">'492'!$T$61</definedName>
    <definedName name="OSRRefT22_8x_0" localSheetId="95">'501'!$T$56</definedName>
    <definedName name="OSRRefT22_8x_0" localSheetId="39">'Div 2'!$T$58</definedName>
    <definedName name="OSRRefT22_8x_0" localSheetId="47">'Div 3'!$T$161</definedName>
    <definedName name="OSRRefT22_8x_0" localSheetId="70">'Div 4'!$T$67</definedName>
    <definedName name="OSRRefT22_8x_0" localSheetId="94">'Div 5'!$T$56</definedName>
    <definedName name="OSRRefT22_8x_0" localSheetId="61">'Div 6'!$T$85</definedName>
    <definedName name="OSRRefT22_8x_0" localSheetId="2">Summary!$T$189</definedName>
    <definedName name="OSRRefT22_9x_0" localSheetId="41">'201'!$T$57</definedName>
    <definedName name="OSRRefT22_9x_0" localSheetId="42">'202'!$T$59:$T$61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'300'!$T$159</definedName>
    <definedName name="OSRRefT22_9x_0" localSheetId="49">'300 &amp; 317'!$T$181</definedName>
    <definedName name="OSRRefT22_9x_0" localSheetId="50">'301'!$T$58</definedName>
    <definedName name="OSRRefT22_9x_0" localSheetId="52">'307'!$T$74:$T$75</definedName>
    <definedName name="OSRRefT22_9x_0" localSheetId="53">'308'!$T$96:$T$97</definedName>
    <definedName name="OSRRefT22_9x_0" localSheetId="64">'309'!$T$58:$T$60</definedName>
    <definedName name="OSRRefT22_9x_0" localSheetId="63">'310'!$T$64</definedName>
    <definedName name="OSRRefT22_9x_0" localSheetId="71">'310 &amp; 491'!$T$70</definedName>
    <definedName name="OSRRefT22_9x_0" localSheetId="54">'311'!$T$95:$T$96</definedName>
    <definedName name="OSRRefT22_9x_0" localSheetId="65">'313'!$T$61:$T$62</definedName>
    <definedName name="OSRRefT22_9x_0" localSheetId="57">'315'!$T$116</definedName>
    <definedName name="OSRRefT22_9x_0" localSheetId="60">'316'!$T$69:$T$73</definedName>
    <definedName name="OSRRefT22_9x_0" localSheetId="62">'317'!$T$87</definedName>
    <definedName name="OSRRefT22_9x_0" localSheetId="66">'321'!$T$63:$T$64</definedName>
    <definedName name="OSRRefT22_9x_0" localSheetId="67">'322'!$T$59:$T$62</definedName>
    <definedName name="OSRRefT22_9x_0" localSheetId="68">'325'!$T$60</definedName>
    <definedName name="OSRRefT22_9x_0" localSheetId="58">'326'!$T$83</definedName>
    <definedName name="OSRRefT22_9x_0" localSheetId="51">'330'!$T$74:$T$75</definedName>
    <definedName name="OSRRefT22_9x_0" localSheetId="56">'331'!$T$117:$T$118</definedName>
    <definedName name="OSRRefT22_9x_0" localSheetId="59">'332'!$T$69:$T$73</definedName>
    <definedName name="OSRRefT22_9x_0" localSheetId="73">'405'!$T$59:$T$60</definedName>
    <definedName name="OSRRefT22_9x_0" localSheetId="76">'411'!$T$56:$T$58</definedName>
    <definedName name="OSRRefT22_9x_0" localSheetId="77">'412'!$T$58</definedName>
    <definedName name="OSRRefT22_9x_0" localSheetId="78">'413'!$T$61:$T$62</definedName>
    <definedName name="OSRRefT22_9x_0" localSheetId="79">'414'!$T$61</definedName>
    <definedName name="OSRRefT22_9x_0" localSheetId="80">'415'!$T$63</definedName>
    <definedName name="OSRRefT22_9x_0" localSheetId="81">'418'!$T$60:$T$61</definedName>
    <definedName name="OSRRefT22_9x_0" localSheetId="89">'433'!$T$63</definedName>
    <definedName name="OSRRefT22_9x_0" localSheetId="91">'444'!$T$63</definedName>
    <definedName name="OSRRefT22_9x_0" localSheetId="93">'450'!$T$59</definedName>
    <definedName name="OSRRefT22_9x_0" localSheetId="72">'491'!$T$66</definedName>
    <definedName name="OSRRefT22_9x_0" localSheetId="87">'492'!$T$63</definedName>
    <definedName name="OSRRefT22_9x_0" localSheetId="95">'501'!$T$58:$T$61</definedName>
    <definedName name="OSRRefT22_9x_0" localSheetId="39">'Div 2'!$T$60:$T$61</definedName>
    <definedName name="OSRRefT22_9x_0" localSheetId="47">'Div 3'!$T$163</definedName>
    <definedName name="OSRRefT22_9x_0" localSheetId="70">'Div 4'!$T$69</definedName>
    <definedName name="OSRRefT22_9x_0" localSheetId="94">'Div 5'!$T$58:$T$61</definedName>
    <definedName name="OSRRefT22_9x_0" localSheetId="61">'Div 6'!$T$87</definedName>
    <definedName name="OSRRefT22_9x_0" localSheetId="2">Summary!$T$191</definedName>
    <definedName name="OSRRefT22x_0" localSheetId="40">'200'!$T$20,'200'!$T$22,'200'!$T$24,'200'!$T$26,'200'!$T$28:$T$29</definedName>
    <definedName name="OSRRefT22x_0" localSheetId="41">'201'!$T$21:$T$29,'201'!$T$31:$T$40,'201'!$T$42,'201'!$T$44,'201'!$T$46:$T$47,'201'!$T$49,'201'!$T$51,'201'!$T$53,'201'!$T$55,'201'!$T$57,'201'!$T$59:$T$61,'201'!$T$63,'201'!$T$65,'201'!$T$67:$T$69,'201'!$T$71,'201'!$T$73,'201'!$T$75</definedName>
    <definedName name="OSRRefT22x_0" localSheetId="42">'202'!$T$21:$T$29,'202'!$T$31:$T$40,'202'!$T$42,'202'!$T$44,'202'!$T$46:$T$47,'202'!$T$49,'202'!$T$51,'202'!$T$53:$T$55,'202'!$T$57,'202'!$T$59:$T$61,'202'!$T$63,'202'!$T$65,'202'!$T$67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$119:$T$128,'300'!$T$130:$T$139,'300'!$T$141,'300'!$T$143:$T$144,'300'!$T$146,'300'!$T$148:$T$149,'300'!$T$151:$T$152,'300'!$T$154:$T$155,'300'!$T$157,'300'!$T$159,'300'!$T$161:$T$162,'300'!$T$164:$T$166,'300'!$T$168,'300'!$T$170,'300'!$T$172,'300'!$T$174,'300'!$T$176:$T$179,'300'!$T$181:$T$184,'300'!$T$186:$T$189,'300'!$T$191:$T$192,'300'!$T$194:$T$202,'300'!$T$204:$T$205,'300'!$T$207,'300'!$T$209:$T$211,'300'!$T$213</definedName>
    <definedName name="OSRRefT22x_0" localSheetId="49">'300 &amp; 317'!$T$141:$T$150,'300 &amp; 317'!$T$152:$T$161,'300 &amp; 317'!$T$163,'300 &amp; 317'!$T$165:$T$166,'300 &amp; 317'!$T$168,'300 &amp; 317'!$T$170:$T$171,'300 &amp; 317'!$T$173:$T$174,'300 &amp; 317'!$T$176:$T$177,'300 &amp; 317'!$T$179,'300 &amp; 317'!$T$181,'300 &amp; 317'!$T$183:$T$184,'300 &amp; 317'!$T$186:$T$188,'300 &amp; 317'!$T$190,'300 &amp; 317'!$T$192,'300 &amp; 317'!$T$194,'300 &amp; 317'!$T$196,'300 &amp; 317'!$T$198:$T$201,'300 &amp; 317'!$T$203:$T$206,'300 &amp; 317'!$T$208:$T$211,'300 &amp; 317'!$T$213:$T$214,'300 &amp; 317'!$T$216:$T$224,'300 &amp; 317'!$T$226:$T$227,'300 &amp; 317'!$T$229,'300 &amp; 317'!$T$231:$T$233,'300 &amp; 317'!$T$235</definedName>
    <definedName name="OSRRefT22x_0" localSheetId="50">'301'!$T$20:$T$29,'301'!$T$31:$T$40,'301'!$T$42,'301'!$T$44:$T$45,'301'!$T$47,'301'!$T$49:$T$50,'301'!$T$52,'301'!$T$54,'301'!$T$56,'301'!$T$58,'301'!$T$60,'301'!$T$62,'301'!$T$64,'301'!$T$66,'301'!$T$68:$T$71,'301'!$T$73:$T$75,'301'!$T$77,'301'!$T$79:$T$85,'301'!$T$87,'301'!$T$89,'301'!$T$91:$T$92,'301'!$T$94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'308'!$T$57:$T$66,'308'!$T$68:$T$77,'308'!$T$79,'308'!$T$81:$T$82,'308'!$T$84,'308'!$T$86,'308'!$T$88:$T$89,'308'!$T$91:$T$92,'308'!$T$94,'308'!$T$96:$T$97,'308'!$T$99:$T$100,'308'!$T$102:$T$104,'308'!$T$106:$T$107,'308'!$T$109,'308'!$T$111</definedName>
    <definedName name="OSRRefT22x_0" localSheetId="64">'309'!$T$22:$T$29,'309'!$T$31:$T$40,'309'!$T$42,'309'!$T$44,'309'!$T$46,'309'!$T$48,'309'!$T$50,'309'!$T$52:$T$53,'309'!$T$55:$T$56,'309'!$T$58:$T$60,'309'!$T$62</definedName>
    <definedName name="OSRRefT22x_0" localSheetId="63">'310'!$T$28:$T$36,'310'!$T$38:$T$47,'310'!$T$49,'310'!$T$51,'310'!$T$53,'310'!$T$55:$T$56,'310'!$T$58,'310'!$T$60,'310'!$T$62,'310'!$T$64,'310'!$T$66,'310'!$T$68,'310'!$T$70,'310'!$T$72:$T$75,'310'!$T$77:$T$78,'310'!$T$80:$T$83,'310'!$T$85,'310'!$T$87:$T$93,'310'!$T$95:$T$96,'310'!$T$98,'310'!$T$100,'310'!$T$102</definedName>
    <definedName name="OSRRefT22x_0" localSheetId="71">'310 &amp; 491'!$T$32:$T$40,'310 &amp; 491'!$T$42:$T$51,'310 &amp; 491'!$T$53,'310 &amp; 491'!$T$55,'310 &amp; 491'!$T$57,'310 &amp; 491'!$T$59:$T$61,'310 &amp; 491'!$T$63,'310 &amp; 491'!$T$65,'310 &amp; 491'!$T$67:$T$68,'310 &amp; 491'!$T$70,'310 &amp; 491'!$T$72,'310 &amp; 491'!$T$74,'310 &amp; 491'!$T$76,'310 &amp; 491'!$T$78:$T$81,'310 &amp; 491'!$T$83:$T$84,'310 &amp; 491'!$T$86:$T$90,'310 &amp; 491'!$T$92:$T$93,'310 &amp; 491'!$T$95:$T$105,'310 &amp; 491'!$T$107:$T$108,'310 &amp; 491'!$T$110,'310 &amp; 491'!$T$112:$T$114,'310 &amp; 491'!$T$116</definedName>
    <definedName name="OSRRefT22x_0" localSheetId="54">'311'!$T$56:$T$65,'311'!$T$67:$T$76,'311'!$T$78,'311'!$T$80:$T$81,'311'!$T$83,'311'!$T$85,'311'!$T$87:$T$88,'311'!$T$90:$T$91,'311'!$T$93,'311'!$T$95:$T$96,'311'!$T$98:$T$99,'311'!$T$101:$T$103,'311'!$T$105:$T$106,'311'!$T$108,'311'!$T$110</definedName>
    <definedName name="OSRRefT22x_0" localSheetId="65">'313'!$T$23:$T$31,'313'!$T$33:$T$42,'313'!$T$44,'313'!$T$46,'313'!$T$48,'313'!$T$50,'313'!$T$52:$T$53,'313'!$T$55,'313'!$T$57:$T$59,'313'!$T$61:$T$62,'313'!$T$64,'313'!$T$66</definedName>
    <definedName name="OSRRefT22x_0" localSheetId="57">'315'!$T$80:$T$88,'315'!$T$90:$T$99,'315'!$T$101,'315'!$T$103,'315'!$T$105,'315'!$T$107,'315'!$T$109,'315'!$T$111:$T$112,'315'!$T$114,'315'!$T$116,'315'!$T$118,'315'!$T$120,'315'!$T$122:$T$124,'315'!$T$126:$T$127,'315'!$T$129:$T$135,'315'!$T$137,'315'!$T$139,'315'!$T$141:$T$142</definedName>
    <definedName name="OSRRefT22x_0" localSheetId="60">'316'!$T$32:$T$40,'316'!$T$42:$T$51,'316'!$T$53,'316'!$T$55,'316'!$T$57,'316'!$T$59,'316'!$T$61:$T$62,'316'!$T$64:$T$65,'316'!$T$67,'316'!$T$69:$T$73,'316'!$T$75,'316'!$T$77</definedName>
    <definedName name="OSRRefT22x_0" localSheetId="62">'317'!$T$50:$T$59,'317'!$T$61:$T$70,'317'!$T$72,'317'!$T$74,'317'!$T$76,'317'!$T$78,'317'!$T$80:$T$81,'317'!$T$83,'317'!$T$85,'317'!$T$87,'317'!$T$89:$T$91,'317'!$T$93,'317'!$T$95</definedName>
    <definedName name="OSRRefT22x_0" localSheetId="66">'321'!$T$26:$T$34,'321'!$T$36:$T$45,'321'!$T$47,'321'!$T$49,'321'!$T$51,'321'!$T$53,'321'!$T$55,'321'!$T$57:$T$58,'321'!$T$60:$T$61,'321'!$T$63:$T$64,'321'!$T$66:$T$68,'321'!$T$70:$T$71,'321'!$T$73,'321'!$T$75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8">'326'!$T$47:$T$55,'326'!$T$57:$T$66,'326'!$T$68,'326'!$T$70,'326'!$T$72,'326'!$T$74,'326'!$T$76,'326'!$T$78,'326'!$T$80:$T$81,'326'!$T$83,'326'!$T$85,'326'!$T$87,'326'!$T$89,'326'!$T$91:$T$93,'326'!$T$95:$T$97,'326'!$T$99:$T$100,'326'!$T$102:$T$107,'326'!$T$109:$T$110,'326'!$T$112,'326'!$T$114:$T$115,'326'!$T$117</definedName>
    <definedName name="OSRRefT22x_0" localSheetId="69">'327'!$T$24</definedName>
    <definedName name="OSRRefT22x_0" localSheetId="51">'330'!$T$39:$T$46,'330'!$T$48:$T$57,'330'!$T$59,'330'!$T$61,'330'!$T$63,'330'!$T$65:$T$66,'330'!$T$68,'330'!$T$70,'330'!$T$72,'330'!$T$74:$T$75,'330'!$T$77:$T$78,'330'!$T$80:$T$83,'330'!$T$85:$T$86,'330'!$T$88</definedName>
    <definedName name="OSRRefT22x_0" localSheetId="56">'331'!$T$81:$T$89,'331'!$T$91:$T$100,'331'!$T$102,'331'!$T$104,'331'!$T$106,'331'!$T$108,'331'!$T$110,'331'!$T$112,'331'!$T$114:$T$115,'331'!$T$117:$T$118,'331'!$T$120,'331'!$T$122,'331'!$T$124,'331'!$T$126,'331'!$T$128:$T$130,'331'!$T$132:$T$134,'331'!$T$136:$T$138,'331'!$T$140:$T$141,'331'!$T$143:$T$150,'331'!$T$152:$T$153,'331'!$T$155,'331'!$T$157:$T$158,'331'!$T$160</definedName>
    <definedName name="OSRRefT22x_0" localSheetId="59">'332'!$T$32:$T$40,'332'!$T$42:$T$51,'332'!$T$53,'332'!$T$55,'332'!$T$57,'332'!$T$59,'332'!$T$61:$T$62,'332'!$T$64:$T$65,'332'!$T$67,'332'!$T$69:$T$73,'332'!$T$75,'332'!$T$77</definedName>
    <definedName name="OSRRefT22x_0" localSheetId="73">'405'!$T$24:$T$31,'405'!$T$33:$T$42,'405'!$T$44,'405'!$T$46,'405'!$T$48:$T$49,'405'!$T$51,'405'!$T$53,'405'!$T$55,'405'!$T$57,'405'!$T$59:$T$60,'405'!$T$62,'405'!$T$64:$T$67,'405'!$T$69,'405'!$T$71:$T$79,'405'!$T$81,'405'!$T$83,'405'!$T$85,'405'!$T$87</definedName>
    <definedName name="OSRRefT22x_0" localSheetId="74">'406'!$T$20,'406'!$T$22,'406'!$T$24,'406'!$T$26,'406'!$T$28</definedName>
    <definedName name="OSRRefT22x_0" localSheetId="76">'411'!$T$20:$T$28,'411'!$T$30:$T$39,'411'!$T$41,'411'!$T$43,'411'!$T$45:$T$46,'411'!$T$48,'411'!$T$50,'411'!$T$52,'411'!$T$54,'411'!$T$56:$T$58,'411'!$T$60:$T$63,'411'!$T$65,'411'!$T$67:$T$73,'411'!$T$75,'411'!$T$77,'411'!$T$79</definedName>
    <definedName name="OSRRefT22x_0" localSheetId="77">'412'!$T$22:$T$29,'412'!$T$31:$T$40,'412'!$T$42,'412'!$T$44,'412'!$T$46:$T$47,'412'!$T$49,'412'!$T$51,'412'!$T$53,'412'!$T$55:$T$56,'412'!$T$58,'412'!$T$60:$T$63,'412'!$T$65:$T$69,'412'!$T$71:$T$72,'412'!$T$74</definedName>
    <definedName name="OSRRefT22x_0" localSheetId="78">'413'!$T$23:$T$31,'413'!$T$33:$T$42,'413'!$T$44,'413'!$T$46,'413'!$T$48,'413'!$T$50,'413'!$T$52,'413'!$T$54,'413'!$T$56:$T$59,'413'!$T$61:$T$62,'413'!$T$64:$T$71,'413'!$T$73:$T$74,'413'!$T$76</definedName>
    <definedName name="OSRRefT22x_0" localSheetId="79">'414'!$T$25:$T$33,'414'!$T$35:$T$44,'414'!$T$46,'414'!$T$48,'414'!$T$50,'414'!$T$52,'414'!$T$54,'414'!$T$56,'414'!$T$58:$T$59,'414'!$T$61,'414'!$T$63,'414'!$T$65,'414'!$T$67:$T$69,'414'!$T$71,'414'!$T$73,'414'!$T$75</definedName>
    <definedName name="OSRRefT22x_0" localSheetId="80">'415'!$T$27:$T$35,'415'!$T$37:$T$46,'415'!$T$48,'415'!$T$50,'415'!$T$52,'415'!$T$54:$T$55,'415'!$T$57,'415'!$T$59,'415'!$T$61,'415'!$T$63,'415'!$T$65,'415'!$T$67:$T$68,'415'!$T$70:$T$74,'415'!$T$76,'415'!$T$78:$T$85,'415'!$T$87:$T$88,'415'!$T$90,'415'!$T$92:$T$93,'415'!$T$95</definedName>
    <definedName name="OSRRefT22x_0" localSheetId="81">'418'!$T$23:$T$30,'418'!$T$32:$T$41,'418'!$T$43,'418'!$T$45,'418'!$T$47:$T$48,'418'!$T$50,'418'!$T$52,'418'!$T$54,'418'!$T$56:$T$58,'418'!$T$60:$T$61,'418'!$T$63:$T$64,'418'!$T$66:$T$75,'418'!$T$77:$T$78,'418'!$T$80</definedName>
    <definedName name="OSRRefT22x_0" localSheetId="82">'420'!$T$21</definedName>
    <definedName name="OSRRefT22x_0" localSheetId="83">'423'!$T$20:$T$27,'423'!$T$29:$T$38,'423'!$T$40,'423'!$T$42:$T$43,'423'!$T$45,'423'!$T$47,'423'!$T$49</definedName>
    <definedName name="OSRRefT22x_0" localSheetId="84">'424'!$T$20,'424'!$T$22,'424'!$T$24,'424'!$T$26</definedName>
    <definedName name="OSRRefT22x_0" localSheetId="85">'425'!$T$20:$T$24,'425'!$T$26,'425'!$T$28,'425'!$T$30,'425'!$T$32:$T$33,'425'!$T$35</definedName>
    <definedName name="OSRRefT22x_0" localSheetId="88">'430'!$T$20:$T$28,'430'!$T$30:$T$39,'430'!$T$41,'430'!$T$43,'430'!$T$45:$T$47,'430'!$T$49:$T$50,'430'!$T$52,'430'!$T$54</definedName>
    <definedName name="OSRRefT22x_0" localSheetId="89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90">'435'!$T$20</definedName>
    <definedName name="OSRRefT22x_0" localSheetId="91">'444'!$T$27:$T$36,'444'!$T$38:$T$47,'444'!$T$49,'444'!$T$51,'444'!$T$53,'444'!$T$55,'444'!$T$57,'444'!$T$59,'444'!$T$61,'444'!$T$63,'444'!$T$65,'444'!$T$67:$T$70,'444'!$T$72:$T$75,'444'!$T$77,'444'!$T$79:$T$87,'444'!$T$89:$T$90,'444'!$T$92</definedName>
    <definedName name="OSRRefT22x_0" localSheetId="93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$29:$T$37,'491'!$T$39:$T$48,'491'!$T$50,'491'!$T$52,'491'!$T$54,'491'!$T$56:$T$58,'491'!$T$60,'491'!$T$62,'491'!$T$64,'491'!$T$66,'491'!$T$68,'491'!$T$70,'491'!$T$72,'491'!$T$74:$T$77,'491'!$T$79:$T$80,'491'!$T$82:$T$86,'491'!$T$88:$T$89,'491'!$T$91:$T$101,'491'!$T$103:$T$104,'491'!$T$106,'491'!$T$108:$T$110,'491'!$T$112</definedName>
    <definedName name="OSRRefT22x_0" localSheetId="87">'492'!$T$27:$T$36,'492'!$T$38:$T$47,'492'!$T$49,'492'!$T$51,'492'!$T$53,'492'!$T$55,'492'!$T$57,'492'!$T$59,'492'!$T$61,'492'!$T$63,'492'!$T$65,'492'!$T$67,'492'!$T$69:$T$72,'492'!$T$74:$T$77,'492'!$T$79,'492'!$T$81:$T$90,'492'!$T$92:$T$93,'492'!$T$95,'492'!$T$97</definedName>
    <definedName name="OSRRefT22x_0" localSheetId="95">'501'!$T$21:$T$30,'501'!$T$32:$T$41,'501'!$T$43,'501'!$T$45,'501'!$T$47,'501'!$T$49:$T$50,'501'!$T$52,'501'!$T$54,'501'!$T$56,'501'!$T$58:$T$61,'501'!$T$63:$T$64,'501'!$T$66</definedName>
    <definedName name="OSRRefT22x_0" localSheetId="39">'Div 2'!$T$21:$T$31,'Div 2'!$T$33:$T$42,'Div 2'!$T$44,'Div 2'!$T$46,'Div 2'!$T$48,'Div 2'!$T$50:$T$51,'Div 2'!$T$53:$T$54,'Div 2'!$T$56,'Div 2'!$T$58,'Div 2'!$T$60:$T$61,'Div 2'!$T$63,'Div 2'!$T$65:$T$66,'Div 2'!$T$68:$T$71,'Div 2'!$T$73:$T$76,'Div 2'!$T$78:$T$79,'Div 2'!$T$81:$T$82,'Div 2'!$T$84:$T$88,'Div 2'!$T$90:$T$91,'Div 2'!$T$93,'Div 2'!$T$95:$T$96</definedName>
    <definedName name="OSRRefT22x_0" localSheetId="47">'Div 3'!$T$123:$T$132,'Div 3'!$T$134:$T$143,'Div 3'!$T$145,'Div 3'!$T$147:$T$148,'Div 3'!$T$150,'Div 3'!$T$152:$T$153,'Div 3'!$T$155:$T$156,'Div 3'!$T$158:$T$159,'Div 3'!$T$161,'Div 3'!$T$163,'Div 3'!$T$165:$T$166,'Div 3'!$T$168:$T$170,'Div 3'!$T$172,'Div 3'!$T$174,'Div 3'!$T$176,'Div 3'!$T$178,'Div 3'!$T$180,'Div 3'!$T$182:$T$185,'Div 3'!$T$187:$T$190,'Div 3'!$T$192:$T$196,'Div 3'!$T$198:$T$199,'Div 3'!$T$201:$T$209,'Div 3'!$T$211:$T$212,'Div 3'!$T$214,'Div 3'!$T$216:$T$218,'Div 3'!$T$220</definedName>
    <definedName name="OSRRefT22x_0" localSheetId="70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4'!$T$95:$T$96,'Div 4'!$T$98:$T$108,'Div 4'!$T$110:$T$111,'Div 4'!$T$113,'Div 4'!$T$115:$T$117,'Div 4'!$T$119</definedName>
    <definedName name="OSRRefT22x_0" localSheetId="94">'Div 5'!$T$21:$T$30,'Div 5'!$T$32:$T$41,'Div 5'!$T$43,'Div 5'!$T$45,'Div 5'!$T$47,'Div 5'!$T$49:$T$50,'Div 5'!$T$52,'Div 5'!$T$54,'Div 5'!$T$56,'Div 5'!$T$58:$T$61,'Div 5'!$T$63:$T$64,'Div 5'!$T$66</definedName>
    <definedName name="OSRRefT22x_0" localSheetId="61">'Div 6'!$T$50:$T$59,'Div 6'!$T$61:$T$70,'Div 6'!$T$72,'Div 6'!$T$74,'Div 6'!$T$76,'Div 6'!$T$78,'Div 6'!$T$80:$T$81,'Div 6'!$T$83,'Div 6'!$T$85,'Div 6'!$T$87,'Div 6'!$T$89:$T$91,'Div 6'!$T$93,'Div 6'!$T$95</definedName>
    <definedName name="OSRRefT22x_0" localSheetId="2">Summary!$T$150:$T$159,Summary!$T$161:$T$170,Summary!$T$172,Summary!$T$174:$T$175,Summary!$T$177,Summary!$T$179:$T$181,Summary!$T$183:$T$184,Summary!$T$186:$T$187,Summary!$T$189,Summary!$T$191,Summary!$T$193:$T$194,Summary!$T$196:$T$198,Summary!$T$200,Summary!$T$202,Summary!$T$204,Summary!$T$206,Summary!$T$208,Summary!$T$210,Summary!$T$212:$T$215,Summary!$T$217:$T$220,Summary!$T$222:$T$226,Summary!$T$228:$T$229,Summary!$T$231:$T$241,Summary!$T$243:$T$244,Summary!$T$246,Summary!$T$248:$T$250,Summary!$T$252</definedName>
    <definedName name="OSRRefT25x_0" localSheetId="42">'202'!$T$70:$T$72</definedName>
    <definedName name="OSRRefT25x_0" localSheetId="48">'300'!$T$216:$T$219</definedName>
    <definedName name="OSRRefT25x_0" localSheetId="49">'300 &amp; 317'!$T$238:$T$242</definedName>
    <definedName name="OSRRefT25x_0" localSheetId="50">'301'!$T$97:$T$98</definedName>
    <definedName name="OSRRefT25x_0" localSheetId="53">'308'!$T$114:$T$116</definedName>
    <definedName name="OSRRefT25x_0" localSheetId="71">'310 &amp; 491'!$T$119:$T$122</definedName>
    <definedName name="OSRRefT25x_0" localSheetId="54">'311'!$T$113:$T$115</definedName>
    <definedName name="OSRRefT25x_0" localSheetId="57">'315'!$T$145:$T$147</definedName>
    <definedName name="OSRRefT25x_0" localSheetId="60">'316'!$T$80</definedName>
    <definedName name="OSRRefT25x_0" localSheetId="62">'317'!$T$98:$T$99</definedName>
    <definedName name="OSRRefT25x_0" localSheetId="56">'331'!$T$163:$T$165</definedName>
    <definedName name="OSRRefT25x_0" localSheetId="59">'332'!$T$80</definedName>
    <definedName name="OSRRefT25x_0" localSheetId="76">'411'!$T$82:$T$83</definedName>
    <definedName name="OSRRefT25x_0" localSheetId="81">'418'!$T$83</definedName>
    <definedName name="OSRRefT25x_0" localSheetId="83">'423'!$T$52:$T$54</definedName>
    <definedName name="OSRRefT25x_0" localSheetId="86">'455'!$T$21:$T$22</definedName>
    <definedName name="OSRRefT25x_0" localSheetId="72">'491'!$T$115:$T$118</definedName>
    <definedName name="OSRRefT25x_0" localSheetId="95">'501'!$T$69</definedName>
    <definedName name="OSRRefT25x_0" localSheetId="39">'Div 2'!$T$99:$T$101</definedName>
    <definedName name="OSRRefT25x_0" localSheetId="47">'Div 3'!$T$223:$T$226</definedName>
    <definedName name="OSRRefT25x_0" localSheetId="70">'Div 4'!$T$122:$T$125</definedName>
    <definedName name="OSRRefT25x_0" localSheetId="94">'Div 5'!$T$69</definedName>
    <definedName name="OSRRefT25x_0" localSheetId="61">'Div 6'!$T$98:$T$99</definedName>
    <definedName name="OSRRefT25x_0" localSheetId="2">Summary!$T$255:$T$261</definedName>
    <definedName name="_xlnm.Print_Area" localSheetId="38">'100'!$A$1:$Z$34</definedName>
    <definedName name="_xlnm.Print_Area" localSheetId="40">'200'!$A$1:$Z$43</definedName>
    <definedName name="_xlnm.Print_Area" localSheetId="41">'201'!$A$1:$Z$89</definedName>
    <definedName name="_xlnm.Print_Area" localSheetId="42">'202'!$A$1:$Z$84</definedName>
    <definedName name="_xlnm.Print_Area" localSheetId="43">'203'!$A$1:$Z$86</definedName>
    <definedName name="_xlnm.Print_Area" localSheetId="44">'204'!$A$1:$Z$81</definedName>
    <definedName name="_xlnm.Print_Area" localSheetId="45">'205'!$A$1:$Z$68</definedName>
    <definedName name="_xlnm.Print_Area" localSheetId="46">'206'!$A$1:$Z$70</definedName>
    <definedName name="_xlnm.Print_Area" localSheetId="48">'300'!$A$1:$Z$231</definedName>
    <definedName name="_xlnm.Print_Area" localSheetId="49">'300 &amp; 317'!$A$1:$Z$254</definedName>
    <definedName name="_xlnm.Print_Area" localSheetId="50">'301'!$A$1:$Z$110</definedName>
    <definedName name="_xlnm.Print_Area" localSheetId="52">'307'!$A$1:$Z$102</definedName>
    <definedName name="_xlnm.Print_Area" localSheetId="53">'308'!$A$1:$Z$128</definedName>
    <definedName name="_xlnm.Print_Area" localSheetId="64">'309'!$A$1:$Z$76</definedName>
    <definedName name="_xlnm.Print_Area" localSheetId="63">'310'!$A$1:$Z$116</definedName>
    <definedName name="_xlnm.Print_Area" localSheetId="71">'310 &amp; 491'!$A$1:$Z$134</definedName>
    <definedName name="_xlnm.Print_Area" localSheetId="54">'311'!$A$1:$Z$127</definedName>
    <definedName name="_xlnm.Print_Area" localSheetId="65">'313'!$A$1:$Z$80</definedName>
    <definedName name="_xlnm.Print_Area" localSheetId="57">'315'!$A$1:$Z$159</definedName>
    <definedName name="_xlnm.Print_Area" localSheetId="60">'316'!$A$1:$Z$92</definedName>
    <definedName name="_xlnm.Print_Area" localSheetId="62">'317'!$A$1:$Z$111</definedName>
    <definedName name="_xlnm.Print_Area" localSheetId="66">'321'!$A$1:$Z$89</definedName>
    <definedName name="_xlnm.Print_Area" localSheetId="67">'322'!$A$1:$Z$80</definedName>
    <definedName name="_xlnm.Print_Area" localSheetId="55">'324'!$A$1:$Z$59</definedName>
    <definedName name="_xlnm.Print_Area" localSheetId="68">'325'!$A$1:$Z$100</definedName>
    <definedName name="_xlnm.Print_Area" localSheetId="58">'326'!$A$1:$Z$131</definedName>
    <definedName name="_xlnm.Print_Area" localSheetId="69">'327'!$A$1:$Z$38</definedName>
    <definedName name="_xlnm.Print_Area" localSheetId="51">'330'!$A$1:$Z$102</definedName>
    <definedName name="_xlnm.Print_Area" localSheetId="56">'331'!$A$1:$Z$177</definedName>
    <definedName name="_xlnm.Print_Area" localSheetId="59">'332'!$A$1:$Z$92</definedName>
    <definedName name="_xlnm.Print_Area" localSheetId="73">'405'!$A$1:$Z$101</definedName>
    <definedName name="_xlnm.Print_Area" localSheetId="74">'406'!$A$1:$Z$42</definedName>
    <definedName name="_xlnm.Print_Area" localSheetId="75">'408'!$A$1:$Z$32</definedName>
    <definedName name="_xlnm.Print_Area" localSheetId="76">'411'!$A$1:$Z$95</definedName>
    <definedName name="_xlnm.Print_Area" localSheetId="77">'412'!$A$1:$Z$88</definedName>
    <definedName name="_xlnm.Print_Area" localSheetId="78">'413'!$A$1:$Z$90</definedName>
    <definedName name="_xlnm.Print_Area" localSheetId="79">'414'!$A$1:$Z$89</definedName>
    <definedName name="_xlnm.Print_Area" localSheetId="80">'415'!$A$1:$Z$109</definedName>
    <definedName name="_xlnm.Print_Area" localSheetId="81">'418'!$A$1:$Z$95</definedName>
    <definedName name="_xlnm.Print_Area" localSheetId="82">'420'!$A$1:$Z$35</definedName>
    <definedName name="_xlnm.Print_Area" localSheetId="83">'423'!$A$1:$Z$66</definedName>
    <definedName name="_xlnm.Print_Area" localSheetId="84">'424'!$A$1:$Z$40</definedName>
    <definedName name="_xlnm.Print_Area" localSheetId="85">'425'!$A$1:$Z$49</definedName>
    <definedName name="_xlnm.Print_Area" localSheetId="88">'430'!$A$1:$Z$68</definedName>
    <definedName name="_xlnm.Print_Area" localSheetId="89">'433'!$A$1:$Z$101</definedName>
    <definedName name="_xlnm.Print_Area" localSheetId="90">'435'!$A$1:$Z$34</definedName>
    <definedName name="_xlnm.Print_Area" localSheetId="91">'444'!$A$1:$Z$106</definedName>
    <definedName name="_xlnm.Print_Area" localSheetId="92">'445'!$A$1:$Z$32</definedName>
    <definedName name="_xlnm.Print_Area" localSheetId="93">'450'!$A$1:$Z$96</definedName>
    <definedName name="_xlnm.Print_Area" localSheetId="86">'455'!$A$1:$Z$34</definedName>
    <definedName name="_xlnm.Print_Area" localSheetId="72">'491'!$A$1:$Z$130</definedName>
    <definedName name="_xlnm.Print_Area" localSheetId="87">'492'!$A$1:$Z$111</definedName>
    <definedName name="_xlnm.Print_Area" localSheetId="95">'501'!$A$1:$Z$81</definedName>
    <definedName name="_xlnm.Print_Area" localSheetId="96">Dept!$A$1:$Z$39</definedName>
    <definedName name="_xlnm.Print_Area" localSheetId="5">'Div 1'!$A$1:$Z$34</definedName>
    <definedName name="_xlnm.Print_Area" localSheetId="39">'Div 2'!$A$1:$Z$113</definedName>
    <definedName name="_xlnm.Print_Area" localSheetId="47">'Div 3'!$A$1:$Z$238</definedName>
    <definedName name="_xlnm.Print_Area" localSheetId="70">'Div 4'!$A$1:$Z$137</definedName>
    <definedName name="_xlnm.Print_Area" localSheetId="94">'Div 5'!$A$1:$Z$81</definedName>
    <definedName name="_xlnm.Print_Area" localSheetId="61">'Div 6'!$A$1:$Z$111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7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8">'OSR_Summary (...56e5d78f_5JEYZH'!$A$1:$Z$39</definedName>
    <definedName name="_xlnm.Print_Area" localSheetId="3">OSR_Summary_18VAVWG!$A$1:$Z$39</definedName>
    <definedName name="_xlnm.Print_Area" localSheetId="2">Summary!$A$1:$Z$275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'408'!$A:$C,'408'!$1:$10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'420'!$A:$C,'420'!$1:$10</definedName>
    <definedName name="_xlnm.Print_Titles" localSheetId="83">'423'!$A:$C,'423'!$1:$10</definedName>
    <definedName name="_xlnm.Print_Titles" localSheetId="84">'424'!$A:$C,'424'!$1:$10</definedName>
    <definedName name="_xlnm.Print_Titles" localSheetId="85">'425'!$A:$C,'425'!$1:$10</definedName>
    <definedName name="_xlnm.Print_Titles" localSheetId="88">'430'!$A:$C,'430'!$1:$10</definedName>
    <definedName name="_xlnm.Print_Titles" localSheetId="89">'433'!$A:$C,'433'!$1:$10</definedName>
    <definedName name="_xlnm.Print_Titles" localSheetId="90">'435'!$A:$C,'435'!$1:$10</definedName>
    <definedName name="_xlnm.Print_Titles" localSheetId="91">'444'!$A:$C,'444'!$1:$10</definedName>
    <definedName name="_xlnm.Print_Titles" localSheetId="92">'445'!$A:$C,'445'!$1:$10</definedName>
    <definedName name="_xlnm.Print_Titles" localSheetId="93">'450'!$A:$C,'450'!$1:$10</definedName>
    <definedName name="_xlnm.Print_Titles" localSheetId="86">'455'!$A:$C,'455'!$1:$10</definedName>
    <definedName name="_xlnm.Print_Titles" localSheetId="72">'491'!$A:$C,'491'!$1:$10</definedName>
    <definedName name="_xlnm.Print_Titles" localSheetId="87">'492'!$A:$C,'492'!$1:$10</definedName>
    <definedName name="_xlnm.Print_Titles" localSheetId="95">'501'!$A:$C,'501'!$1:$10</definedName>
    <definedName name="_xlnm.Print_Titles" localSheetId="96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4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7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8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3" i="109" l="1"/>
  <c r="X73" i="109"/>
  <c r="L73" i="109"/>
  <c r="N73" i="109" s="1"/>
  <c r="P69" i="109"/>
  <c r="X69" i="109" s="1"/>
  <c r="Z69" i="109" s="1"/>
  <c r="D69" i="109"/>
  <c r="L69" i="109" s="1"/>
  <c r="N69" i="109" s="1"/>
  <c r="B69" i="109"/>
  <c r="T68" i="109"/>
  <c r="Z68" i="109" s="1"/>
  <c r="P68" i="109"/>
  <c r="X68" i="109" s="1"/>
  <c r="H68" i="109"/>
  <c r="X66" i="109"/>
  <c r="Z66" i="109" s="1"/>
  <c r="L66" i="109"/>
  <c r="N66" i="109" s="1"/>
  <c r="B66" i="109"/>
  <c r="X65" i="109"/>
  <c r="Z65" i="109" s="1"/>
  <c r="T65" i="109"/>
  <c r="P65" i="109"/>
  <c r="H65" i="109"/>
  <c r="D65" i="109"/>
  <c r="L65" i="109" s="1"/>
  <c r="N65" i="109" s="1"/>
  <c r="B65" i="109"/>
  <c r="Z64" i="109"/>
  <c r="X64" i="109"/>
  <c r="N64" i="109"/>
  <c r="L64" i="109"/>
  <c r="B64" i="109"/>
  <c r="X63" i="109"/>
  <c r="Z63" i="109" s="1"/>
  <c r="R63" i="109"/>
  <c r="N63" i="109"/>
  <c r="L63" i="109"/>
  <c r="B63" i="109"/>
  <c r="T62" i="109"/>
  <c r="Z62" i="109" s="1"/>
  <c r="P62" i="109"/>
  <c r="X62" i="109" s="1"/>
  <c r="L62" i="109"/>
  <c r="N62" i="109" s="1"/>
  <c r="H62" i="109"/>
  <c r="D62" i="109"/>
  <c r="B62" i="109"/>
  <c r="Z61" i="109"/>
  <c r="X61" i="109"/>
  <c r="N61" i="109"/>
  <c r="L61" i="109"/>
  <c r="J61" i="109"/>
  <c r="B61" i="109"/>
  <c r="Z60" i="109"/>
  <c r="X60" i="109"/>
  <c r="N60" i="109"/>
  <c r="L60" i="109"/>
  <c r="B60" i="109"/>
  <c r="Z59" i="109"/>
  <c r="X59" i="109"/>
  <c r="N59" i="109"/>
  <c r="L59" i="109"/>
  <c r="B59" i="109"/>
  <c r="Z58" i="109"/>
  <c r="X58" i="109"/>
  <c r="V58" i="109"/>
  <c r="R58" i="109"/>
  <c r="N58" i="109"/>
  <c r="L58" i="109"/>
  <c r="B58" i="109"/>
  <c r="T57" i="109"/>
  <c r="P57" i="109"/>
  <c r="X57" i="109" s="1"/>
  <c r="H57" i="109"/>
  <c r="D57" i="109"/>
  <c r="L57" i="109" s="1"/>
  <c r="N57" i="109" s="1"/>
  <c r="B57" i="109"/>
  <c r="X56" i="109"/>
  <c r="Z56" i="109" s="1"/>
  <c r="N56" i="109"/>
  <c r="L56" i="109"/>
  <c r="B56" i="109"/>
  <c r="T55" i="109"/>
  <c r="P55" i="109"/>
  <c r="X55" i="109" s="1"/>
  <c r="Z55" i="109" s="1"/>
  <c r="L55" i="109"/>
  <c r="N55" i="109" s="1"/>
  <c r="J55" i="109"/>
  <c r="H55" i="109"/>
  <c r="D55" i="109"/>
  <c r="B55" i="109"/>
  <c r="Z54" i="109"/>
  <c r="X54" i="109"/>
  <c r="N54" i="109"/>
  <c r="L54" i="109"/>
  <c r="J54" i="109"/>
  <c r="B54" i="109"/>
  <c r="T53" i="109"/>
  <c r="P53" i="109"/>
  <c r="H53" i="109"/>
  <c r="D53" i="109"/>
  <c r="B53" i="109"/>
  <c r="X52" i="109"/>
  <c r="Z52" i="109" s="1"/>
  <c r="N52" i="109"/>
  <c r="L52" i="109"/>
  <c r="B52" i="109"/>
  <c r="T51" i="109"/>
  <c r="P51" i="109"/>
  <c r="X51" i="109" s="1"/>
  <c r="Z51" i="109" s="1"/>
  <c r="H51" i="109"/>
  <c r="N51" i="109" s="1"/>
  <c r="D51" i="109"/>
  <c r="L51" i="109" s="1"/>
  <c r="B51" i="109"/>
  <c r="X50" i="109"/>
  <c r="Z50" i="109" s="1"/>
  <c r="N50" i="109"/>
  <c r="L50" i="109"/>
  <c r="B50" i="109"/>
  <c r="Z49" i="109"/>
  <c r="X49" i="109"/>
  <c r="N49" i="109"/>
  <c r="L49" i="109"/>
  <c r="B49" i="109"/>
  <c r="T48" i="109"/>
  <c r="R48" i="109"/>
  <c r="P48" i="109"/>
  <c r="X48" i="109" s="1"/>
  <c r="H48" i="109"/>
  <c r="N48" i="109" s="1"/>
  <c r="D48" i="109"/>
  <c r="L48" i="109" s="1"/>
  <c r="B48" i="109"/>
  <c r="X47" i="109"/>
  <c r="Z47" i="109" s="1"/>
  <c r="R47" i="109"/>
  <c r="N47" i="109"/>
  <c r="L47" i="109"/>
  <c r="B47" i="109"/>
  <c r="T46" i="109"/>
  <c r="P46" i="109"/>
  <c r="X46" i="109" s="1"/>
  <c r="Z46" i="109" s="1"/>
  <c r="N46" i="109"/>
  <c r="L46" i="109"/>
  <c r="H46" i="109"/>
  <c r="D46" i="109"/>
  <c r="B46" i="109"/>
  <c r="X45" i="109"/>
  <c r="Z45" i="109" s="1"/>
  <c r="L45" i="109"/>
  <c r="N45" i="109" s="1"/>
  <c r="J45" i="109"/>
  <c r="B45" i="109"/>
  <c r="X44" i="109"/>
  <c r="T44" i="109"/>
  <c r="Z44" i="109" s="1"/>
  <c r="P44" i="109"/>
  <c r="J44" i="109"/>
  <c r="H44" i="109"/>
  <c r="D44" i="109"/>
  <c r="L44" i="109" s="1"/>
  <c r="B44" i="109"/>
  <c r="Z43" i="109"/>
  <c r="X43" i="109"/>
  <c r="L43" i="109"/>
  <c r="N43" i="109" s="1"/>
  <c r="B43" i="109"/>
  <c r="T42" i="109"/>
  <c r="P42" i="109"/>
  <c r="H42" i="109"/>
  <c r="D42" i="109"/>
  <c r="L42" i="109" s="1"/>
  <c r="B42" i="109"/>
  <c r="Z41" i="109"/>
  <c r="X41" i="109"/>
  <c r="N41" i="109"/>
  <c r="L41" i="109"/>
  <c r="B41" i="109"/>
  <c r="Z40" i="109"/>
  <c r="X40" i="109"/>
  <c r="N40" i="109"/>
  <c r="L40" i="109"/>
  <c r="B40" i="109"/>
  <c r="X39" i="109"/>
  <c r="Z39" i="109" s="1"/>
  <c r="R39" i="109"/>
  <c r="N39" i="109"/>
  <c r="L39" i="109"/>
  <c r="B39" i="109"/>
  <c r="Z38" i="109"/>
  <c r="X38" i="109"/>
  <c r="N38" i="109"/>
  <c r="L38" i="109"/>
  <c r="J38" i="109"/>
  <c r="B38" i="109"/>
  <c r="Z37" i="109"/>
  <c r="X37" i="109"/>
  <c r="N37" i="109"/>
  <c r="L37" i="109"/>
  <c r="B37" i="109"/>
  <c r="Z36" i="109"/>
  <c r="X36" i="109"/>
  <c r="N36" i="109"/>
  <c r="L36" i="109"/>
  <c r="B36" i="109"/>
  <c r="X35" i="109"/>
  <c r="Z35" i="109" s="1"/>
  <c r="R35" i="109"/>
  <c r="N35" i="109"/>
  <c r="L35" i="109"/>
  <c r="B35" i="109"/>
  <c r="Z34" i="109"/>
  <c r="X34" i="109"/>
  <c r="N34" i="109"/>
  <c r="L34" i="109"/>
  <c r="J34" i="109"/>
  <c r="B34" i="109"/>
  <c r="X33" i="109"/>
  <c r="Z33" i="109" s="1"/>
  <c r="L33" i="109"/>
  <c r="N33" i="109" s="1"/>
  <c r="B33" i="109"/>
  <c r="X32" i="109"/>
  <c r="Z32" i="109" s="1"/>
  <c r="L32" i="109"/>
  <c r="N32" i="109" s="1"/>
  <c r="B32" i="109"/>
  <c r="T31" i="109"/>
  <c r="R31" i="109"/>
  <c r="P31" i="109"/>
  <c r="X31" i="109" s="1"/>
  <c r="H31" i="109"/>
  <c r="D31" i="109"/>
  <c r="L31" i="109" s="1"/>
  <c r="B31" i="109"/>
  <c r="X30" i="109"/>
  <c r="Z30" i="109" s="1"/>
  <c r="V30" i="109"/>
  <c r="R30" i="109"/>
  <c r="N30" i="109"/>
  <c r="L30" i="109"/>
  <c r="B30" i="109"/>
  <c r="X29" i="109"/>
  <c r="Z29" i="109" s="1"/>
  <c r="L29" i="109"/>
  <c r="N29" i="109" s="1"/>
  <c r="J29" i="109"/>
  <c r="B29" i="109"/>
  <c r="X28" i="109"/>
  <c r="Z28" i="109" s="1"/>
  <c r="N28" i="109"/>
  <c r="L28" i="109"/>
  <c r="B28" i="109"/>
  <c r="Z27" i="109"/>
  <c r="X27" i="109"/>
  <c r="N27" i="109"/>
  <c r="L27" i="109"/>
  <c r="B27" i="109"/>
  <c r="Z26" i="109"/>
  <c r="X26" i="109"/>
  <c r="R26" i="109"/>
  <c r="N26" i="109"/>
  <c r="L26" i="109"/>
  <c r="B26" i="109"/>
  <c r="X25" i="109"/>
  <c r="Z25" i="109" s="1"/>
  <c r="L25" i="109"/>
  <c r="N25" i="109" s="1"/>
  <c r="J25" i="109"/>
  <c r="B25" i="109"/>
  <c r="X24" i="109"/>
  <c r="Z24" i="109" s="1"/>
  <c r="N24" i="109"/>
  <c r="L24" i="109"/>
  <c r="B24" i="109"/>
  <c r="Z23" i="109"/>
  <c r="X23" i="109"/>
  <c r="N23" i="109"/>
  <c r="L23" i="109"/>
  <c r="B23" i="109"/>
  <c r="X22" i="109"/>
  <c r="Z22" i="109" s="1"/>
  <c r="V22" i="109"/>
  <c r="R22" i="109"/>
  <c r="N22" i="109"/>
  <c r="L22" i="109"/>
  <c r="B22" i="109"/>
  <c r="X21" i="109"/>
  <c r="Z21" i="109" s="1"/>
  <c r="L21" i="109"/>
  <c r="N21" i="109" s="1"/>
  <c r="J21" i="109"/>
  <c r="B21" i="109"/>
  <c r="X20" i="109"/>
  <c r="Z20" i="109" s="1"/>
  <c r="T20" i="109"/>
  <c r="P20" i="109"/>
  <c r="J20" i="109"/>
  <c r="H20" i="109"/>
  <c r="D20" i="109"/>
  <c r="L20" i="109" s="1"/>
  <c r="B20" i="109"/>
  <c r="T19" i="109"/>
  <c r="Z19" i="109" s="1"/>
  <c r="P19" i="109"/>
  <c r="X19" i="109" s="1"/>
  <c r="L19" i="109"/>
  <c r="J19" i="109"/>
  <c r="H19" i="109"/>
  <c r="N19" i="109" s="1"/>
  <c r="D19" i="109"/>
  <c r="J17" i="109"/>
  <c r="T15" i="109"/>
  <c r="Z15" i="109" s="1"/>
  <c r="P15" i="109"/>
  <c r="X15" i="109" s="1"/>
  <c r="L15" i="109"/>
  <c r="J15" i="109"/>
  <c r="H15" i="109"/>
  <c r="H17" i="109" s="1"/>
  <c r="H71" i="109" s="1"/>
  <c r="D15" i="109"/>
  <c r="Z13" i="109"/>
  <c r="X13" i="109"/>
  <c r="P13" i="109"/>
  <c r="D13" i="109"/>
  <c r="B13" i="109"/>
  <c r="T12" i="109"/>
  <c r="V49" i="109" s="1"/>
  <c r="P12" i="109"/>
  <c r="R49" i="109" s="1"/>
  <c r="H12" i="109"/>
  <c r="J73" i="109" s="1"/>
  <c r="D6" i="109"/>
  <c r="D4" i="109"/>
  <c r="V31" i="108"/>
  <c r="R31" i="108"/>
  <c r="F31" i="108"/>
  <c r="V28" i="108"/>
  <c r="R28" i="108"/>
  <c r="F28" i="108"/>
  <c r="Z26" i="108"/>
  <c r="X26" i="108"/>
  <c r="V26" i="108"/>
  <c r="R26" i="108"/>
  <c r="N26" i="108"/>
  <c r="L26" i="108"/>
  <c r="V24" i="108"/>
  <c r="R24" i="108"/>
  <c r="J24" i="108"/>
  <c r="F24" i="108"/>
  <c r="Z22" i="108"/>
  <c r="V22" i="108"/>
  <c r="R22" i="108"/>
  <c r="P22" i="108"/>
  <c r="X22" i="108" s="1"/>
  <c r="N22" i="108"/>
  <c r="L22" i="108"/>
  <c r="F22" i="108"/>
  <c r="D22" i="108"/>
  <c r="B22" i="108"/>
  <c r="Z21" i="108"/>
  <c r="R21" i="108"/>
  <c r="P21" i="108"/>
  <c r="X21" i="108" s="1"/>
  <c r="N21" i="108"/>
  <c r="J21" i="108"/>
  <c r="F21" i="108"/>
  <c r="D21" i="108"/>
  <c r="B21" i="108"/>
  <c r="Z20" i="108"/>
  <c r="T20" i="108"/>
  <c r="R20" i="108"/>
  <c r="P20" i="108"/>
  <c r="X20" i="108" s="1"/>
  <c r="J20" i="108"/>
  <c r="H20" i="108"/>
  <c r="N20" i="108" s="1"/>
  <c r="F20" i="108"/>
  <c r="Z18" i="108"/>
  <c r="T18" i="108"/>
  <c r="R18" i="108"/>
  <c r="P18" i="108"/>
  <c r="X18" i="108" s="1"/>
  <c r="N18" i="108"/>
  <c r="J18" i="108"/>
  <c r="H18" i="108"/>
  <c r="F18" i="108"/>
  <c r="D18" i="108"/>
  <c r="L18" i="108" s="1"/>
  <c r="R16" i="108"/>
  <c r="P16" i="108"/>
  <c r="J16" i="108"/>
  <c r="F16" i="108"/>
  <c r="Z14" i="108"/>
  <c r="T14" i="108"/>
  <c r="R14" i="108"/>
  <c r="P14" i="108"/>
  <c r="X14" i="108" s="1"/>
  <c r="J14" i="108"/>
  <c r="H14" i="108"/>
  <c r="N14" i="108" s="1"/>
  <c r="F14" i="108"/>
  <c r="D14" i="108"/>
  <c r="D16" i="108" s="1"/>
  <c r="Z12" i="108"/>
  <c r="T12" i="108"/>
  <c r="X12" i="108" s="1"/>
  <c r="P12" i="108"/>
  <c r="N12" i="108"/>
  <c r="L12" i="108"/>
  <c r="H12" i="108"/>
  <c r="D12" i="108"/>
  <c r="F26" i="108" s="1"/>
  <c r="D6" i="108"/>
  <c r="D4" i="108"/>
  <c r="X88" i="107"/>
  <c r="Z88" i="107" s="1"/>
  <c r="N88" i="107"/>
  <c r="L88" i="107"/>
  <c r="T84" i="107"/>
  <c r="P84" i="107"/>
  <c r="H84" i="107"/>
  <c r="N84" i="107" s="1"/>
  <c r="D84" i="107"/>
  <c r="L84" i="107" s="1"/>
  <c r="X82" i="107"/>
  <c r="Z82" i="107" s="1"/>
  <c r="R82" i="107"/>
  <c r="N82" i="107"/>
  <c r="L82" i="107"/>
  <c r="B82" i="107"/>
  <c r="T81" i="107"/>
  <c r="P81" i="107"/>
  <c r="X81" i="107" s="1"/>
  <c r="Z81" i="107" s="1"/>
  <c r="L81" i="107"/>
  <c r="N81" i="107" s="1"/>
  <c r="H81" i="107"/>
  <c r="D81" i="107"/>
  <c r="B81" i="107"/>
  <c r="Z80" i="107"/>
  <c r="X80" i="107"/>
  <c r="N80" i="107"/>
  <c r="L80" i="107"/>
  <c r="J80" i="107"/>
  <c r="B80" i="107"/>
  <c r="X79" i="107"/>
  <c r="Z79" i="107" s="1"/>
  <c r="N79" i="107"/>
  <c r="L79" i="107"/>
  <c r="B79" i="107"/>
  <c r="T78" i="107"/>
  <c r="P78" i="107"/>
  <c r="X78" i="107" s="1"/>
  <c r="Z78" i="107" s="1"/>
  <c r="H78" i="107"/>
  <c r="N78" i="107" s="1"/>
  <c r="D78" i="107"/>
  <c r="L78" i="107" s="1"/>
  <c r="B78" i="107"/>
  <c r="Z77" i="107"/>
  <c r="X77" i="107"/>
  <c r="N77" i="107"/>
  <c r="L77" i="107"/>
  <c r="B77" i="107"/>
  <c r="X76" i="107"/>
  <c r="Z76" i="107" s="1"/>
  <c r="V76" i="107"/>
  <c r="N76" i="107"/>
  <c r="L76" i="107"/>
  <c r="B76" i="107"/>
  <c r="Z75" i="107"/>
  <c r="X75" i="107"/>
  <c r="N75" i="107"/>
  <c r="L75" i="107"/>
  <c r="B75" i="107"/>
  <c r="X74" i="107"/>
  <c r="Z74" i="107" s="1"/>
  <c r="L74" i="107"/>
  <c r="N74" i="107" s="1"/>
  <c r="B74" i="107"/>
  <c r="Z73" i="107"/>
  <c r="X73" i="107"/>
  <c r="N73" i="107"/>
  <c r="L73" i="107"/>
  <c r="B73" i="107"/>
  <c r="X72" i="107"/>
  <c r="Z72" i="107" s="1"/>
  <c r="V72" i="107"/>
  <c r="L72" i="107"/>
  <c r="N72" i="107" s="1"/>
  <c r="B72" i="107"/>
  <c r="Z71" i="107"/>
  <c r="X71" i="107"/>
  <c r="N71" i="107"/>
  <c r="L71" i="107"/>
  <c r="B71" i="107"/>
  <c r="T70" i="107"/>
  <c r="P70" i="107"/>
  <c r="X70" i="107" s="1"/>
  <c r="L70" i="107"/>
  <c r="N70" i="107" s="1"/>
  <c r="J70" i="107"/>
  <c r="H70" i="107"/>
  <c r="D70" i="107"/>
  <c r="B70" i="107"/>
  <c r="Z69" i="107"/>
  <c r="X69" i="107"/>
  <c r="N69" i="107"/>
  <c r="L69" i="107"/>
  <c r="J69" i="107"/>
  <c r="B69" i="107"/>
  <c r="X68" i="107"/>
  <c r="Z68" i="107" s="1"/>
  <c r="L68" i="107"/>
  <c r="N68" i="107" s="1"/>
  <c r="B68" i="107"/>
  <c r="Z67" i="107"/>
  <c r="X67" i="107"/>
  <c r="L67" i="107"/>
  <c r="N67" i="107" s="1"/>
  <c r="B67" i="107"/>
  <c r="T66" i="107"/>
  <c r="P66" i="107"/>
  <c r="H66" i="107"/>
  <c r="D66" i="107"/>
  <c r="L66" i="107" s="1"/>
  <c r="B66" i="107"/>
  <c r="Z65" i="107"/>
  <c r="X65" i="107"/>
  <c r="V65" i="107"/>
  <c r="N65" i="107"/>
  <c r="L65" i="107"/>
  <c r="B65" i="107"/>
  <c r="T64" i="107"/>
  <c r="Z64" i="107" s="1"/>
  <c r="P64" i="107"/>
  <c r="X64" i="107" s="1"/>
  <c r="N64" i="107"/>
  <c r="L64" i="107"/>
  <c r="H64" i="107"/>
  <c r="D64" i="107"/>
  <c r="B64" i="107"/>
  <c r="Z63" i="107"/>
  <c r="X63" i="107"/>
  <c r="L63" i="107"/>
  <c r="N63" i="107" s="1"/>
  <c r="B63" i="107"/>
  <c r="T62" i="107"/>
  <c r="Z62" i="107" s="1"/>
  <c r="P62" i="107"/>
  <c r="X62" i="107" s="1"/>
  <c r="L62" i="107"/>
  <c r="J62" i="107"/>
  <c r="H62" i="107"/>
  <c r="D62" i="107"/>
  <c r="B62" i="107"/>
  <c r="Z61" i="107"/>
  <c r="X61" i="107"/>
  <c r="N61" i="107"/>
  <c r="L61" i="107"/>
  <c r="J61" i="107"/>
  <c r="B61" i="107"/>
  <c r="T60" i="107"/>
  <c r="P60" i="107"/>
  <c r="X60" i="107" s="1"/>
  <c r="H60" i="107"/>
  <c r="D60" i="107"/>
  <c r="B60" i="107"/>
  <c r="X59" i="107"/>
  <c r="Z59" i="107" s="1"/>
  <c r="N59" i="107"/>
  <c r="L59" i="107"/>
  <c r="B59" i="107"/>
  <c r="Z58" i="107"/>
  <c r="X58" i="107"/>
  <c r="T58" i="107"/>
  <c r="P58" i="107"/>
  <c r="H58" i="107"/>
  <c r="N58" i="107" s="1"/>
  <c r="D58" i="107"/>
  <c r="L58" i="107" s="1"/>
  <c r="B58" i="107"/>
  <c r="Z57" i="107"/>
  <c r="X57" i="107"/>
  <c r="N57" i="107"/>
  <c r="L57" i="107"/>
  <c r="B57" i="107"/>
  <c r="X56" i="107"/>
  <c r="V56" i="107"/>
  <c r="T56" i="107"/>
  <c r="Z56" i="107" s="1"/>
  <c r="P56" i="107"/>
  <c r="H56" i="107"/>
  <c r="N56" i="107" s="1"/>
  <c r="D56" i="107"/>
  <c r="L56" i="107" s="1"/>
  <c r="B56" i="107"/>
  <c r="Z55" i="107"/>
  <c r="X55" i="107"/>
  <c r="L55" i="107"/>
  <c r="N55" i="107" s="1"/>
  <c r="B55" i="107"/>
  <c r="T54" i="107"/>
  <c r="P54" i="107"/>
  <c r="H54" i="107"/>
  <c r="D54" i="107"/>
  <c r="L54" i="107" s="1"/>
  <c r="B54" i="107"/>
  <c r="Z53" i="107"/>
  <c r="X53" i="107"/>
  <c r="V53" i="107"/>
  <c r="N53" i="107"/>
  <c r="L53" i="107"/>
  <c r="B53" i="107"/>
  <c r="T52" i="107"/>
  <c r="Z52" i="107" s="1"/>
  <c r="P52" i="107"/>
  <c r="X52" i="107" s="1"/>
  <c r="N52" i="107"/>
  <c r="L52" i="107"/>
  <c r="H52" i="107"/>
  <c r="D52" i="107"/>
  <c r="B52" i="107"/>
  <c r="Z51" i="107"/>
  <c r="X51" i="107"/>
  <c r="L51" i="107"/>
  <c r="N51" i="107" s="1"/>
  <c r="B51" i="107"/>
  <c r="T50" i="107"/>
  <c r="Z50" i="107" s="1"/>
  <c r="P50" i="107"/>
  <c r="X50" i="107" s="1"/>
  <c r="L50" i="107"/>
  <c r="J50" i="107"/>
  <c r="H50" i="107"/>
  <c r="D50" i="107"/>
  <c r="B50" i="107"/>
  <c r="Z49" i="107"/>
  <c r="X49" i="107"/>
  <c r="V49" i="107"/>
  <c r="N49" i="107"/>
  <c r="L49" i="107"/>
  <c r="J49" i="107"/>
  <c r="B49" i="107"/>
  <c r="T48" i="107"/>
  <c r="Z48" i="107" s="1"/>
  <c r="P48" i="107"/>
  <c r="X48" i="107" s="1"/>
  <c r="H48" i="107"/>
  <c r="D48" i="107"/>
  <c r="B48" i="107"/>
  <c r="X47" i="107"/>
  <c r="Z47" i="107" s="1"/>
  <c r="N47" i="107"/>
  <c r="L47" i="107"/>
  <c r="B47" i="107"/>
  <c r="Z46" i="107"/>
  <c r="X46" i="107"/>
  <c r="T46" i="107"/>
  <c r="P46" i="107"/>
  <c r="H46" i="107"/>
  <c r="D46" i="107"/>
  <c r="L46" i="107" s="1"/>
  <c r="B46" i="107"/>
  <c r="Z45" i="107"/>
  <c r="X45" i="107"/>
  <c r="N45" i="107"/>
  <c r="L45" i="107"/>
  <c r="B45" i="107"/>
  <c r="X44" i="107"/>
  <c r="V44" i="107"/>
  <c r="T44" i="107"/>
  <c r="Z44" i="107" s="1"/>
  <c r="P44" i="107"/>
  <c r="H44" i="107"/>
  <c r="D44" i="107"/>
  <c r="L44" i="107" s="1"/>
  <c r="B44" i="107"/>
  <c r="Z43" i="107"/>
  <c r="X43" i="107"/>
  <c r="V43" i="107"/>
  <c r="N43" i="107"/>
  <c r="L43" i="107"/>
  <c r="B43" i="107"/>
  <c r="Z42" i="107"/>
  <c r="X42" i="107"/>
  <c r="N42" i="107"/>
  <c r="L42" i="107"/>
  <c r="B42" i="107"/>
  <c r="Z41" i="107"/>
  <c r="X41" i="107"/>
  <c r="V41" i="107"/>
  <c r="N41" i="107"/>
  <c r="L41" i="107"/>
  <c r="J41" i="107"/>
  <c r="B41" i="107"/>
  <c r="X40" i="107"/>
  <c r="Z40" i="107" s="1"/>
  <c r="N40" i="107"/>
  <c r="L40" i="107"/>
  <c r="B40" i="107"/>
  <c r="Z39" i="107"/>
  <c r="X39" i="107"/>
  <c r="V39" i="107"/>
  <c r="N39" i="107"/>
  <c r="L39" i="107"/>
  <c r="B39" i="107"/>
  <c r="X38" i="107"/>
  <c r="Z38" i="107" s="1"/>
  <c r="V38" i="107"/>
  <c r="N38" i="107"/>
  <c r="L38" i="107"/>
  <c r="B38" i="107"/>
  <c r="Z37" i="107"/>
  <c r="X37" i="107"/>
  <c r="V37" i="107"/>
  <c r="N37" i="107"/>
  <c r="L37" i="107"/>
  <c r="J37" i="107"/>
  <c r="B37" i="107"/>
  <c r="Z36" i="107"/>
  <c r="X36" i="107"/>
  <c r="N36" i="107"/>
  <c r="L36" i="107"/>
  <c r="B36" i="107"/>
  <c r="X35" i="107"/>
  <c r="Z35" i="107" s="1"/>
  <c r="V35" i="107"/>
  <c r="L35" i="107"/>
  <c r="N35" i="107" s="1"/>
  <c r="B35" i="107"/>
  <c r="Z34" i="107"/>
  <c r="X34" i="107"/>
  <c r="V34" i="107"/>
  <c r="N34" i="107"/>
  <c r="L34" i="107"/>
  <c r="B34" i="107"/>
  <c r="V33" i="107"/>
  <c r="T33" i="107"/>
  <c r="P33" i="107"/>
  <c r="X33" i="107" s="1"/>
  <c r="Z33" i="107" s="1"/>
  <c r="N33" i="107"/>
  <c r="L33" i="107"/>
  <c r="J33" i="107"/>
  <c r="H33" i="107"/>
  <c r="D33" i="107"/>
  <c r="B33" i="107"/>
  <c r="Z32" i="107"/>
  <c r="X32" i="107"/>
  <c r="N32" i="107"/>
  <c r="L32" i="107"/>
  <c r="J32" i="107"/>
  <c r="B32" i="107"/>
  <c r="X31" i="107"/>
  <c r="Z31" i="107" s="1"/>
  <c r="V31" i="107"/>
  <c r="N31" i="107"/>
  <c r="L31" i="107"/>
  <c r="J31" i="107"/>
  <c r="B31" i="107"/>
  <c r="Z30" i="107"/>
  <c r="X30" i="107"/>
  <c r="N30" i="107"/>
  <c r="L30" i="107"/>
  <c r="B30" i="107"/>
  <c r="Z29" i="107"/>
  <c r="X29" i="107"/>
  <c r="V29" i="107"/>
  <c r="R29" i="107"/>
  <c r="N29" i="107"/>
  <c r="L29" i="107"/>
  <c r="B29" i="107"/>
  <c r="Z28" i="107"/>
  <c r="X28" i="107"/>
  <c r="N28" i="107"/>
  <c r="L28" i="107"/>
  <c r="J28" i="107"/>
  <c r="B28" i="107"/>
  <c r="X27" i="107"/>
  <c r="Z27" i="107" s="1"/>
  <c r="V27" i="107"/>
  <c r="N27" i="107"/>
  <c r="L27" i="107"/>
  <c r="J27" i="107"/>
  <c r="B27" i="107"/>
  <c r="Z26" i="107"/>
  <c r="X26" i="107"/>
  <c r="N26" i="107"/>
  <c r="L26" i="107"/>
  <c r="B26" i="107"/>
  <c r="Z25" i="107"/>
  <c r="X25" i="107"/>
  <c r="V25" i="107"/>
  <c r="R25" i="107"/>
  <c r="N25" i="107"/>
  <c r="L25" i="107"/>
  <c r="B25" i="107"/>
  <c r="X24" i="107"/>
  <c r="Z24" i="107" s="1"/>
  <c r="L24" i="107"/>
  <c r="N24" i="107" s="1"/>
  <c r="J24" i="107"/>
  <c r="B24" i="107"/>
  <c r="X23" i="107"/>
  <c r="Z23" i="107" s="1"/>
  <c r="V23" i="107"/>
  <c r="N23" i="107"/>
  <c r="L23" i="107"/>
  <c r="J23" i="107"/>
  <c r="B23" i="107"/>
  <c r="Z22" i="107"/>
  <c r="X22" i="107"/>
  <c r="T22" i="107"/>
  <c r="P22" i="107"/>
  <c r="H22" i="107"/>
  <c r="D22" i="107"/>
  <c r="L22" i="107" s="1"/>
  <c r="B22" i="107"/>
  <c r="T21" i="107"/>
  <c r="P21" i="107"/>
  <c r="X21" i="107" s="1"/>
  <c r="H21" i="107"/>
  <c r="D21" i="107"/>
  <c r="L21" i="107" s="1"/>
  <c r="T19" i="107"/>
  <c r="Z17" i="107"/>
  <c r="X17" i="107"/>
  <c r="N17" i="107"/>
  <c r="L17" i="107"/>
  <c r="J17" i="107"/>
  <c r="B17" i="107"/>
  <c r="X16" i="107"/>
  <c r="Z16" i="107" s="1"/>
  <c r="V16" i="107"/>
  <c r="T16" i="107"/>
  <c r="P16" i="107"/>
  <c r="N16" i="107"/>
  <c r="H16" i="107"/>
  <c r="H19" i="107" s="1"/>
  <c r="D16" i="107"/>
  <c r="L16" i="107" s="1"/>
  <c r="Z14" i="107"/>
  <c r="P14" i="107"/>
  <c r="X14" i="107" s="1"/>
  <c r="N14" i="107"/>
  <c r="L14" i="107"/>
  <c r="D14" i="107"/>
  <c r="B14" i="107"/>
  <c r="P13" i="107"/>
  <c r="P12" i="107" s="1"/>
  <c r="D13" i="107"/>
  <c r="B13" i="107"/>
  <c r="T12" i="107"/>
  <c r="V78" i="107" s="1"/>
  <c r="H12" i="107"/>
  <c r="J82" i="107" s="1"/>
  <c r="D6" i="107"/>
  <c r="D4" i="107"/>
  <c r="V29" i="106"/>
  <c r="V26" i="106"/>
  <c r="Z24" i="106"/>
  <c r="X24" i="106"/>
  <c r="V24" i="106"/>
  <c r="N24" i="106"/>
  <c r="L24" i="106"/>
  <c r="T20" i="106"/>
  <c r="Z20" i="106" s="1"/>
  <c r="P20" i="106"/>
  <c r="X20" i="106" s="1"/>
  <c r="N20" i="106"/>
  <c r="L20" i="106"/>
  <c r="H20" i="106"/>
  <c r="D20" i="106"/>
  <c r="T18" i="106"/>
  <c r="Z18" i="106" s="1"/>
  <c r="P18" i="106"/>
  <c r="X18" i="106" s="1"/>
  <c r="N18" i="106"/>
  <c r="L18" i="106"/>
  <c r="H18" i="106"/>
  <c r="F18" i="106"/>
  <c r="D18" i="106"/>
  <c r="T14" i="106"/>
  <c r="Z14" i="106" s="1"/>
  <c r="R14" i="106"/>
  <c r="P14" i="106"/>
  <c r="X14" i="106" s="1"/>
  <c r="N14" i="106"/>
  <c r="L14" i="106"/>
  <c r="H14" i="106"/>
  <c r="D14" i="106"/>
  <c r="Z12" i="106"/>
  <c r="T12" i="106"/>
  <c r="V22" i="106" s="1"/>
  <c r="P12" i="106"/>
  <c r="R20" i="106" s="1"/>
  <c r="L12" i="106"/>
  <c r="H12" i="106"/>
  <c r="D12" i="106"/>
  <c r="D6" i="106"/>
  <c r="D4" i="106"/>
  <c r="Z98" i="105"/>
  <c r="X98" i="105"/>
  <c r="L98" i="105"/>
  <c r="N98" i="105" s="1"/>
  <c r="Z94" i="105"/>
  <c r="X94" i="105"/>
  <c r="T94" i="105"/>
  <c r="P94" i="105"/>
  <c r="L94" i="105"/>
  <c r="H94" i="105"/>
  <c r="N94" i="105" s="1"/>
  <c r="D94" i="105"/>
  <c r="Z92" i="105"/>
  <c r="X92" i="105"/>
  <c r="N92" i="105"/>
  <c r="L92" i="105"/>
  <c r="B92" i="105"/>
  <c r="X91" i="105"/>
  <c r="V91" i="105"/>
  <c r="T91" i="105"/>
  <c r="P91" i="105"/>
  <c r="L91" i="105"/>
  <c r="H91" i="105"/>
  <c r="D91" i="105"/>
  <c r="B91" i="105"/>
  <c r="Z90" i="105"/>
  <c r="X90" i="105"/>
  <c r="V90" i="105"/>
  <c r="R90" i="105"/>
  <c r="N90" i="105"/>
  <c r="L90" i="105"/>
  <c r="B90" i="105"/>
  <c r="Z89" i="105"/>
  <c r="X89" i="105"/>
  <c r="N89" i="105"/>
  <c r="L89" i="105"/>
  <c r="B89" i="105"/>
  <c r="T88" i="105"/>
  <c r="P88" i="105"/>
  <c r="H88" i="105"/>
  <c r="D88" i="105"/>
  <c r="B88" i="105"/>
  <c r="Z87" i="105"/>
  <c r="X87" i="105"/>
  <c r="V87" i="105"/>
  <c r="N87" i="105"/>
  <c r="L87" i="105"/>
  <c r="B87" i="105"/>
  <c r="X86" i="105"/>
  <c r="Z86" i="105" s="1"/>
  <c r="L86" i="105"/>
  <c r="N86" i="105" s="1"/>
  <c r="B86" i="105"/>
  <c r="Z85" i="105"/>
  <c r="X85" i="105"/>
  <c r="N85" i="105"/>
  <c r="L85" i="105"/>
  <c r="B85" i="105"/>
  <c r="X84" i="105"/>
  <c r="Z84" i="105" s="1"/>
  <c r="N84" i="105"/>
  <c r="L84" i="105"/>
  <c r="B84" i="105"/>
  <c r="Z83" i="105"/>
  <c r="X83" i="105"/>
  <c r="N83" i="105"/>
  <c r="L83" i="105"/>
  <c r="B83" i="105"/>
  <c r="X82" i="105"/>
  <c r="Z82" i="105" s="1"/>
  <c r="L82" i="105"/>
  <c r="N82" i="105" s="1"/>
  <c r="B82" i="105"/>
  <c r="X81" i="105"/>
  <c r="Z81" i="105" s="1"/>
  <c r="L81" i="105"/>
  <c r="N81" i="105" s="1"/>
  <c r="B81" i="105"/>
  <c r="X80" i="105"/>
  <c r="Z80" i="105" s="1"/>
  <c r="N80" i="105"/>
  <c r="L80" i="105"/>
  <c r="B80" i="105"/>
  <c r="Z79" i="105"/>
  <c r="X79" i="105"/>
  <c r="L79" i="105"/>
  <c r="N79" i="105" s="1"/>
  <c r="B79" i="105"/>
  <c r="X78" i="105"/>
  <c r="T78" i="105"/>
  <c r="P78" i="105"/>
  <c r="H78" i="105"/>
  <c r="D78" i="105"/>
  <c r="L78" i="105" s="1"/>
  <c r="B78" i="105"/>
  <c r="Z77" i="105"/>
  <c r="X77" i="105"/>
  <c r="N77" i="105"/>
  <c r="L77" i="105"/>
  <c r="B77" i="105"/>
  <c r="T76" i="105"/>
  <c r="Z76" i="105" s="1"/>
  <c r="P76" i="105"/>
  <c r="X76" i="105" s="1"/>
  <c r="N76" i="105"/>
  <c r="H76" i="105"/>
  <c r="L76" i="105" s="1"/>
  <c r="D76" i="105"/>
  <c r="B76" i="105"/>
  <c r="Z75" i="105"/>
  <c r="X75" i="105"/>
  <c r="N75" i="105"/>
  <c r="L75" i="105"/>
  <c r="B75" i="105"/>
  <c r="X74" i="105"/>
  <c r="Z74" i="105" s="1"/>
  <c r="L74" i="105"/>
  <c r="N74" i="105" s="1"/>
  <c r="B74" i="105"/>
  <c r="Z73" i="105"/>
  <c r="X73" i="105"/>
  <c r="N73" i="105"/>
  <c r="L73" i="105"/>
  <c r="B73" i="105"/>
  <c r="X72" i="105"/>
  <c r="Z72" i="105" s="1"/>
  <c r="L72" i="105"/>
  <c r="N72" i="105" s="1"/>
  <c r="B72" i="105"/>
  <c r="T71" i="105"/>
  <c r="P71" i="105"/>
  <c r="X71" i="105" s="1"/>
  <c r="Z71" i="105" s="1"/>
  <c r="H71" i="105"/>
  <c r="N71" i="105" s="1"/>
  <c r="D71" i="105"/>
  <c r="L71" i="105" s="1"/>
  <c r="B71" i="105"/>
  <c r="X70" i="105"/>
  <c r="Z70" i="105" s="1"/>
  <c r="L70" i="105"/>
  <c r="N70" i="105" s="1"/>
  <c r="B70" i="105"/>
  <c r="Z69" i="105"/>
  <c r="X69" i="105"/>
  <c r="V69" i="105"/>
  <c r="N69" i="105"/>
  <c r="L69" i="105"/>
  <c r="B69" i="105"/>
  <c r="X68" i="105"/>
  <c r="Z68" i="105" s="1"/>
  <c r="N68" i="105"/>
  <c r="L68" i="105"/>
  <c r="B68" i="105"/>
  <c r="Z67" i="105"/>
  <c r="X67" i="105"/>
  <c r="N67" i="105"/>
  <c r="L67" i="105"/>
  <c r="B67" i="105"/>
  <c r="T66" i="105"/>
  <c r="P66" i="105"/>
  <c r="X66" i="105" s="1"/>
  <c r="L66" i="105"/>
  <c r="H66" i="105"/>
  <c r="D66" i="105"/>
  <c r="B66" i="105"/>
  <c r="Z65" i="105"/>
  <c r="X65" i="105"/>
  <c r="N65" i="105"/>
  <c r="L65" i="105"/>
  <c r="B65" i="105"/>
  <c r="T64" i="105"/>
  <c r="P64" i="105"/>
  <c r="X64" i="105" s="1"/>
  <c r="Z64" i="105" s="1"/>
  <c r="H64" i="105"/>
  <c r="D64" i="105"/>
  <c r="B64" i="105"/>
  <c r="Z63" i="105"/>
  <c r="X63" i="105"/>
  <c r="L63" i="105"/>
  <c r="N63" i="105" s="1"/>
  <c r="B63" i="105"/>
  <c r="X62" i="105"/>
  <c r="Z62" i="105" s="1"/>
  <c r="T62" i="105"/>
  <c r="P62" i="105"/>
  <c r="H62" i="105"/>
  <c r="N62" i="105" s="1"/>
  <c r="D62" i="105"/>
  <c r="L62" i="105" s="1"/>
  <c r="B62" i="105"/>
  <c r="X61" i="105"/>
  <c r="Z61" i="105" s="1"/>
  <c r="L61" i="105"/>
  <c r="N61" i="105" s="1"/>
  <c r="B61" i="105"/>
  <c r="T60" i="105"/>
  <c r="P60" i="105"/>
  <c r="X60" i="105" s="1"/>
  <c r="H60" i="105"/>
  <c r="D60" i="105"/>
  <c r="L60" i="105" s="1"/>
  <c r="N60" i="105" s="1"/>
  <c r="B60" i="105"/>
  <c r="X59" i="105"/>
  <c r="Z59" i="105" s="1"/>
  <c r="V59" i="105"/>
  <c r="N59" i="105"/>
  <c r="L59" i="105"/>
  <c r="B59" i="105"/>
  <c r="T58" i="105"/>
  <c r="Z58" i="105" s="1"/>
  <c r="P58" i="105"/>
  <c r="X58" i="105" s="1"/>
  <c r="N58" i="105"/>
  <c r="L58" i="105"/>
  <c r="H58" i="105"/>
  <c r="D58" i="105"/>
  <c r="B58" i="105"/>
  <c r="X57" i="105"/>
  <c r="Z57" i="105" s="1"/>
  <c r="L57" i="105"/>
  <c r="N57" i="105" s="1"/>
  <c r="B57" i="105"/>
  <c r="T56" i="105"/>
  <c r="Z56" i="105" s="1"/>
  <c r="P56" i="105"/>
  <c r="X56" i="105" s="1"/>
  <c r="L56" i="105"/>
  <c r="H56" i="105"/>
  <c r="N56" i="105" s="1"/>
  <c r="D56" i="105"/>
  <c r="B56" i="105"/>
  <c r="Z55" i="105"/>
  <c r="X55" i="105"/>
  <c r="N55" i="105"/>
  <c r="L55" i="105"/>
  <c r="J55" i="105"/>
  <c r="B55" i="105"/>
  <c r="Z54" i="105"/>
  <c r="T54" i="105"/>
  <c r="P54" i="105"/>
  <c r="X54" i="105" s="1"/>
  <c r="H54" i="105"/>
  <c r="N54" i="105" s="1"/>
  <c r="D54" i="105"/>
  <c r="L54" i="105" s="1"/>
  <c r="B54" i="105"/>
  <c r="X53" i="105"/>
  <c r="Z53" i="105" s="1"/>
  <c r="N53" i="105"/>
  <c r="L53" i="105"/>
  <c r="B53" i="105"/>
  <c r="Z52" i="105"/>
  <c r="X52" i="105"/>
  <c r="T52" i="105"/>
  <c r="P52" i="105"/>
  <c r="H52" i="105"/>
  <c r="D52" i="105"/>
  <c r="L52" i="105" s="1"/>
  <c r="B52" i="105"/>
  <c r="Z51" i="105"/>
  <c r="X51" i="105"/>
  <c r="L51" i="105"/>
  <c r="N51" i="105" s="1"/>
  <c r="B51" i="105"/>
  <c r="X50" i="105"/>
  <c r="V50" i="105"/>
  <c r="T50" i="105"/>
  <c r="P50" i="105"/>
  <c r="H50" i="105"/>
  <c r="N50" i="105" s="1"/>
  <c r="D50" i="105"/>
  <c r="L50" i="105" s="1"/>
  <c r="B50" i="105"/>
  <c r="Z49" i="105"/>
  <c r="X49" i="105"/>
  <c r="L49" i="105"/>
  <c r="N49" i="105" s="1"/>
  <c r="B49" i="105"/>
  <c r="T48" i="105"/>
  <c r="R48" i="105"/>
  <c r="P48" i="105"/>
  <c r="H48" i="105"/>
  <c r="D48" i="105"/>
  <c r="L48" i="105" s="1"/>
  <c r="N48" i="105" s="1"/>
  <c r="B48" i="105"/>
  <c r="Z47" i="105"/>
  <c r="X47" i="105"/>
  <c r="V47" i="105"/>
  <c r="N47" i="105"/>
  <c r="L47" i="105"/>
  <c r="B47" i="105"/>
  <c r="Z46" i="105"/>
  <c r="X46" i="105"/>
  <c r="N46" i="105"/>
  <c r="L46" i="105"/>
  <c r="B46" i="105"/>
  <c r="X45" i="105"/>
  <c r="Z45" i="105" s="1"/>
  <c r="N45" i="105"/>
  <c r="L45" i="105"/>
  <c r="B45" i="105"/>
  <c r="Z44" i="105"/>
  <c r="X44" i="105"/>
  <c r="N44" i="105"/>
  <c r="L44" i="105"/>
  <c r="B44" i="105"/>
  <c r="Z43" i="105"/>
  <c r="X43" i="105"/>
  <c r="V43" i="105"/>
  <c r="R43" i="105"/>
  <c r="N43" i="105"/>
  <c r="L43" i="105"/>
  <c r="B43" i="105"/>
  <c r="X42" i="105"/>
  <c r="Z42" i="105" s="1"/>
  <c r="L42" i="105"/>
  <c r="N42" i="105" s="1"/>
  <c r="J42" i="105"/>
  <c r="B42" i="105"/>
  <c r="X41" i="105"/>
  <c r="Z41" i="105" s="1"/>
  <c r="N41" i="105"/>
  <c r="L41" i="105"/>
  <c r="B41" i="105"/>
  <c r="Z40" i="105"/>
  <c r="X40" i="105"/>
  <c r="N40" i="105"/>
  <c r="L40" i="105"/>
  <c r="B40" i="105"/>
  <c r="X39" i="105"/>
  <c r="Z39" i="105" s="1"/>
  <c r="V39" i="105"/>
  <c r="N39" i="105"/>
  <c r="L39" i="105"/>
  <c r="B39" i="105"/>
  <c r="Z38" i="105"/>
  <c r="X38" i="105"/>
  <c r="N38" i="105"/>
  <c r="L38" i="105"/>
  <c r="B38" i="105"/>
  <c r="T37" i="105"/>
  <c r="Z37" i="105" s="1"/>
  <c r="P37" i="105"/>
  <c r="X37" i="105" s="1"/>
  <c r="H37" i="105"/>
  <c r="D37" i="105"/>
  <c r="B37" i="105"/>
  <c r="Z36" i="105"/>
  <c r="X36" i="105"/>
  <c r="N36" i="105"/>
  <c r="L36" i="105"/>
  <c r="B36" i="105"/>
  <c r="Z35" i="105"/>
  <c r="X35" i="105"/>
  <c r="N35" i="105"/>
  <c r="L35" i="105"/>
  <c r="B35" i="105"/>
  <c r="X34" i="105"/>
  <c r="Z34" i="105" s="1"/>
  <c r="V34" i="105"/>
  <c r="N34" i="105"/>
  <c r="L34" i="105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B31" i="105"/>
  <c r="X30" i="105"/>
  <c r="Z30" i="105" s="1"/>
  <c r="V30" i="105"/>
  <c r="L30" i="105"/>
  <c r="N30" i="105" s="1"/>
  <c r="B30" i="105"/>
  <c r="Z29" i="105"/>
  <c r="X29" i="105"/>
  <c r="N29" i="105"/>
  <c r="L29" i="105"/>
  <c r="B29" i="105"/>
  <c r="Z28" i="105"/>
  <c r="X28" i="105"/>
  <c r="L28" i="105"/>
  <c r="N28" i="105" s="1"/>
  <c r="B28" i="105"/>
  <c r="Z27" i="105"/>
  <c r="X27" i="105"/>
  <c r="L27" i="105"/>
  <c r="N27" i="105" s="1"/>
  <c r="B27" i="105"/>
  <c r="X26" i="105"/>
  <c r="V26" i="105"/>
  <c r="T26" i="105"/>
  <c r="P26" i="105"/>
  <c r="H26" i="105"/>
  <c r="N26" i="105" s="1"/>
  <c r="D26" i="105"/>
  <c r="L26" i="105" s="1"/>
  <c r="B26" i="105"/>
  <c r="X25" i="105"/>
  <c r="Z25" i="105" s="1"/>
  <c r="T25" i="105"/>
  <c r="P25" i="105"/>
  <c r="H25" i="105"/>
  <c r="D25" i="105"/>
  <c r="L25" i="105" s="1"/>
  <c r="Z21" i="105"/>
  <c r="X21" i="105"/>
  <c r="N21" i="105"/>
  <c r="L21" i="105"/>
  <c r="B21" i="105"/>
  <c r="Z20" i="105"/>
  <c r="X20" i="105"/>
  <c r="N20" i="105"/>
  <c r="L20" i="105"/>
  <c r="B20" i="105"/>
  <c r="X19" i="105"/>
  <c r="Z19" i="105" s="1"/>
  <c r="L19" i="105"/>
  <c r="N19" i="105" s="1"/>
  <c r="J19" i="105"/>
  <c r="B19" i="105"/>
  <c r="V18" i="105"/>
  <c r="T18" i="105"/>
  <c r="P18" i="105"/>
  <c r="X18" i="105" s="1"/>
  <c r="Z18" i="105" s="1"/>
  <c r="H18" i="105"/>
  <c r="D18" i="105"/>
  <c r="L18" i="105" s="1"/>
  <c r="Z16" i="105"/>
  <c r="P16" i="105"/>
  <c r="X16" i="105" s="1"/>
  <c r="N16" i="105"/>
  <c r="D16" i="105"/>
  <c r="L16" i="105" s="1"/>
  <c r="B16" i="105"/>
  <c r="Z15" i="105"/>
  <c r="P15" i="105"/>
  <c r="X15" i="105" s="1"/>
  <c r="N15" i="105"/>
  <c r="L15" i="105"/>
  <c r="D15" i="105"/>
  <c r="B15" i="105"/>
  <c r="Z14" i="105"/>
  <c r="X14" i="105"/>
  <c r="P14" i="105"/>
  <c r="L14" i="105"/>
  <c r="N14" i="105" s="1"/>
  <c r="D14" i="105"/>
  <c r="B14" i="105"/>
  <c r="Z13" i="105"/>
  <c r="X13" i="105"/>
  <c r="P13" i="105"/>
  <c r="P12" i="105" s="1"/>
  <c r="R76" i="105" s="1"/>
  <c r="N13" i="105"/>
  <c r="D13" i="105"/>
  <c r="L13" i="105" s="1"/>
  <c r="B13" i="105"/>
  <c r="T12" i="105"/>
  <c r="V75" i="105" s="1"/>
  <c r="H12" i="105"/>
  <c r="D6" i="105"/>
  <c r="D4" i="105"/>
  <c r="R31" i="104"/>
  <c r="F31" i="104"/>
  <c r="R28" i="104"/>
  <c r="J28" i="104"/>
  <c r="F28" i="104"/>
  <c r="Z26" i="104"/>
  <c r="X26" i="104"/>
  <c r="N26" i="104"/>
  <c r="L26" i="104"/>
  <c r="F26" i="104"/>
  <c r="R24" i="104"/>
  <c r="F24" i="104"/>
  <c r="Z22" i="104"/>
  <c r="X22" i="104"/>
  <c r="T22" i="104"/>
  <c r="R22" i="104"/>
  <c r="P22" i="104"/>
  <c r="H22" i="104"/>
  <c r="N22" i="104" s="1"/>
  <c r="F22" i="104"/>
  <c r="D22" i="104"/>
  <c r="L22" i="104" s="1"/>
  <c r="Z20" i="104"/>
  <c r="X20" i="104"/>
  <c r="N20" i="104"/>
  <c r="L20" i="104"/>
  <c r="F20" i="104"/>
  <c r="B20" i="104"/>
  <c r="V19" i="104"/>
  <c r="T19" i="104"/>
  <c r="P19" i="104"/>
  <c r="N19" i="104"/>
  <c r="L19" i="104"/>
  <c r="H19" i="104"/>
  <c r="F19" i="104"/>
  <c r="D19" i="104"/>
  <c r="B19" i="104"/>
  <c r="Z18" i="104"/>
  <c r="X18" i="104"/>
  <c r="V18" i="104"/>
  <c r="T18" i="104"/>
  <c r="P18" i="104"/>
  <c r="N18" i="104"/>
  <c r="H18" i="104"/>
  <c r="F18" i="104"/>
  <c r="D18" i="104"/>
  <c r="L18" i="104" s="1"/>
  <c r="F16" i="104"/>
  <c r="Z14" i="104"/>
  <c r="X14" i="104"/>
  <c r="V14" i="104"/>
  <c r="T14" i="104"/>
  <c r="P14" i="104"/>
  <c r="N14" i="104"/>
  <c r="H14" i="104"/>
  <c r="F14" i="104"/>
  <c r="D14" i="104"/>
  <c r="L14" i="104" s="1"/>
  <c r="T12" i="104"/>
  <c r="P12" i="104"/>
  <c r="R18" i="104" s="1"/>
  <c r="H12" i="104"/>
  <c r="D12" i="104"/>
  <c r="D6" i="104"/>
  <c r="D4" i="104"/>
  <c r="Z93" i="103"/>
  <c r="X93" i="103"/>
  <c r="N93" i="103"/>
  <c r="L93" i="103"/>
  <c r="Z89" i="103"/>
  <c r="T89" i="103"/>
  <c r="P89" i="103"/>
  <c r="X89" i="103" s="1"/>
  <c r="N89" i="103"/>
  <c r="L89" i="103"/>
  <c r="H89" i="103"/>
  <c r="D89" i="103"/>
  <c r="Z87" i="103"/>
  <c r="X87" i="103"/>
  <c r="N87" i="103"/>
  <c r="L87" i="103"/>
  <c r="B87" i="103"/>
  <c r="T86" i="103"/>
  <c r="P86" i="103"/>
  <c r="N86" i="103"/>
  <c r="H86" i="103"/>
  <c r="D86" i="103"/>
  <c r="L86" i="103" s="1"/>
  <c r="B86" i="103"/>
  <c r="Z85" i="103"/>
  <c r="X85" i="103"/>
  <c r="L85" i="103"/>
  <c r="N85" i="103" s="1"/>
  <c r="B85" i="103"/>
  <c r="X84" i="103"/>
  <c r="Z84" i="103" s="1"/>
  <c r="T84" i="103"/>
  <c r="P84" i="103"/>
  <c r="H84" i="103"/>
  <c r="D84" i="103"/>
  <c r="L84" i="103" s="1"/>
  <c r="B84" i="103"/>
  <c r="Z83" i="103"/>
  <c r="X83" i="103"/>
  <c r="N83" i="103"/>
  <c r="L83" i="103"/>
  <c r="B83" i="103"/>
  <c r="X82" i="103"/>
  <c r="Z82" i="103" s="1"/>
  <c r="N82" i="103"/>
  <c r="L82" i="103"/>
  <c r="B82" i="103"/>
  <c r="X81" i="103"/>
  <c r="Z81" i="103" s="1"/>
  <c r="L81" i="103"/>
  <c r="N81" i="103" s="1"/>
  <c r="B81" i="103"/>
  <c r="X80" i="103"/>
  <c r="Z80" i="103" s="1"/>
  <c r="L80" i="103"/>
  <c r="N80" i="103" s="1"/>
  <c r="F80" i="103"/>
  <c r="B80" i="103"/>
  <c r="Z79" i="103"/>
  <c r="X79" i="103"/>
  <c r="N79" i="103"/>
  <c r="L79" i="103"/>
  <c r="B79" i="103"/>
  <c r="X78" i="103"/>
  <c r="Z78" i="103" s="1"/>
  <c r="N78" i="103"/>
  <c r="L78" i="103"/>
  <c r="B78" i="103"/>
  <c r="X77" i="103"/>
  <c r="Z77" i="103" s="1"/>
  <c r="L77" i="103"/>
  <c r="N77" i="103" s="1"/>
  <c r="B77" i="103"/>
  <c r="X76" i="103"/>
  <c r="Z76" i="103" s="1"/>
  <c r="L76" i="103"/>
  <c r="N76" i="103" s="1"/>
  <c r="B76" i="103"/>
  <c r="X75" i="103"/>
  <c r="Z75" i="103" s="1"/>
  <c r="T75" i="103"/>
  <c r="P75" i="103"/>
  <c r="H75" i="103"/>
  <c r="D75" i="103"/>
  <c r="L75" i="103" s="1"/>
  <c r="B75" i="103"/>
  <c r="Z74" i="103"/>
  <c r="X74" i="103"/>
  <c r="N74" i="103"/>
  <c r="L74" i="103"/>
  <c r="B74" i="103"/>
  <c r="X73" i="103"/>
  <c r="Z73" i="103" s="1"/>
  <c r="V73" i="103"/>
  <c r="N73" i="103"/>
  <c r="L73" i="103"/>
  <c r="B73" i="103"/>
  <c r="X72" i="103"/>
  <c r="Z72" i="103" s="1"/>
  <c r="L72" i="103"/>
  <c r="N72" i="103" s="1"/>
  <c r="J72" i="103"/>
  <c r="B72" i="103"/>
  <c r="Z71" i="103"/>
  <c r="X71" i="103"/>
  <c r="N71" i="103"/>
  <c r="L71" i="103"/>
  <c r="B71" i="103"/>
  <c r="T70" i="103"/>
  <c r="X70" i="103" s="1"/>
  <c r="P70" i="103"/>
  <c r="N70" i="103"/>
  <c r="L70" i="103"/>
  <c r="H70" i="103"/>
  <c r="D70" i="103"/>
  <c r="B70" i="103"/>
  <c r="Z69" i="103"/>
  <c r="X69" i="103"/>
  <c r="L69" i="103"/>
  <c r="N69" i="103" s="1"/>
  <c r="J69" i="103"/>
  <c r="B69" i="103"/>
  <c r="X68" i="103"/>
  <c r="Z68" i="103" s="1"/>
  <c r="L68" i="103"/>
  <c r="N68" i="103" s="1"/>
  <c r="B68" i="103"/>
  <c r="X67" i="103"/>
  <c r="Z67" i="103" s="1"/>
  <c r="N67" i="103"/>
  <c r="L67" i="103"/>
  <c r="B67" i="103"/>
  <c r="T66" i="103"/>
  <c r="P66" i="103"/>
  <c r="L66" i="103"/>
  <c r="N66" i="103" s="1"/>
  <c r="H66" i="103"/>
  <c r="D66" i="103"/>
  <c r="B66" i="103"/>
  <c r="X65" i="103"/>
  <c r="Z65" i="103" s="1"/>
  <c r="L65" i="103"/>
  <c r="N65" i="103" s="1"/>
  <c r="B65" i="103"/>
  <c r="T64" i="103"/>
  <c r="P64" i="103"/>
  <c r="X64" i="103" s="1"/>
  <c r="N64" i="103"/>
  <c r="L64" i="103"/>
  <c r="H64" i="103"/>
  <c r="D64" i="103"/>
  <c r="B64" i="103"/>
  <c r="Z63" i="103"/>
  <c r="X63" i="103"/>
  <c r="L63" i="103"/>
  <c r="N63" i="103" s="1"/>
  <c r="J63" i="103"/>
  <c r="B63" i="103"/>
  <c r="T62" i="103"/>
  <c r="X62" i="103" s="1"/>
  <c r="P62" i="103"/>
  <c r="H62" i="103"/>
  <c r="N62" i="103" s="1"/>
  <c r="D62" i="103"/>
  <c r="L62" i="103" s="1"/>
  <c r="B62" i="103"/>
  <c r="Z61" i="103"/>
  <c r="X61" i="103"/>
  <c r="L61" i="103"/>
  <c r="N61" i="103" s="1"/>
  <c r="B61" i="103"/>
  <c r="T60" i="103"/>
  <c r="P60" i="103"/>
  <c r="X60" i="103" s="1"/>
  <c r="Z60" i="103" s="1"/>
  <c r="H60" i="103"/>
  <c r="D60" i="103"/>
  <c r="L60" i="103" s="1"/>
  <c r="B60" i="103"/>
  <c r="X59" i="103"/>
  <c r="Z59" i="103" s="1"/>
  <c r="N59" i="103"/>
  <c r="L59" i="103"/>
  <c r="B59" i="103"/>
  <c r="Z58" i="103"/>
  <c r="X58" i="103"/>
  <c r="T58" i="103"/>
  <c r="P58" i="103"/>
  <c r="H58" i="103"/>
  <c r="D58" i="103"/>
  <c r="L58" i="103" s="1"/>
  <c r="B58" i="103"/>
  <c r="Z57" i="103"/>
  <c r="X57" i="103"/>
  <c r="N57" i="103"/>
  <c r="L57" i="103"/>
  <c r="B57" i="103"/>
  <c r="T56" i="103"/>
  <c r="P56" i="103"/>
  <c r="X56" i="103" s="1"/>
  <c r="Z56" i="103" s="1"/>
  <c r="H56" i="103"/>
  <c r="L56" i="103" s="1"/>
  <c r="N56" i="103" s="1"/>
  <c r="D56" i="103"/>
  <c r="B56" i="103"/>
  <c r="Z55" i="103"/>
  <c r="X55" i="103"/>
  <c r="N55" i="103"/>
  <c r="L55" i="103"/>
  <c r="J55" i="103"/>
  <c r="B55" i="103"/>
  <c r="T54" i="103"/>
  <c r="Z54" i="103" s="1"/>
  <c r="P54" i="103"/>
  <c r="L54" i="103"/>
  <c r="H54" i="103"/>
  <c r="N54" i="103" s="1"/>
  <c r="D54" i="103"/>
  <c r="B54" i="103"/>
  <c r="X53" i="103"/>
  <c r="Z53" i="103" s="1"/>
  <c r="L53" i="103"/>
  <c r="N53" i="103" s="1"/>
  <c r="B53" i="103"/>
  <c r="T52" i="103"/>
  <c r="P52" i="103"/>
  <c r="X52" i="103" s="1"/>
  <c r="N52" i="103"/>
  <c r="L52" i="103"/>
  <c r="H52" i="103"/>
  <c r="D52" i="103"/>
  <c r="B52" i="103"/>
  <c r="Z51" i="103"/>
  <c r="X51" i="103"/>
  <c r="L51" i="103"/>
  <c r="N51" i="103" s="1"/>
  <c r="J51" i="103"/>
  <c r="B51" i="103"/>
  <c r="X50" i="103"/>
  <c r="Z50" i="103" s="1"/>
  <c r="T50" i="103"/>
  <c r="P50" i="103"/>
  <c r="H50" i="103"/>
  <c r="D50" i="103"/>
  <c r="L50" i="103" s="1"/>
  <c r="N50" i="103" s="1"/>
  <c r="B50" i="103"/>
  <c r="Z49" i="103"/>
  <c r="X49" i="103"/>
  <c r="N49" i="103"/>
  <c r="L49" i="103"/>
  <c r="B49" i="103"/>
  <c r="X48" i="103"/>
  <c r="V48" i="103"/>
  <c r="T48" i="103"/>
  <c r="Z48" i="103" s="1"/>
  <c r="P48" i="103"/>
  <c r="H48" i="103"/>
  <c r="D48" i="103"/>
  <c r="L48" i="103" s="1"/>
  <c r="B48" i="103"/>
  <c r="Z47" i="103"/>
  <c r="X47" i="103"/>
  <c r="V47" i="103"/>
  <c r="N47" i="103"/>
  <c r="L47" i="103"/>
  <c r="B47" i="103"/>
  <c r="Z46" i="103"/>
  <c r="X46" i="103"/>
  <c r="N46" i="103"/>
  <c r="L46" i="103"/>
  <c r="F46" i="103"/>
  <c r="B46" i="103"/>
  <c r="Z45" i="103"/>
  <c r="X45" i="103"/>
  <c r="N45" i="103"/>
  <c r="L45" i="103"/>
  <c r="B45" i="103"/>
  <c r="Z44" i="103"/>
  <c r="X44" i="103"/>
  <c r="V44" i="103"/>
  <c r="N44" i="103"/>
  <c r="L44" i="103"/>
  <c r="B44" i="103"/>
  <c r="Z43" i="103"/>
  <c r="X43" i="103"/>
  <c r="N43" i="103"/>
  <c r="L43" i="103"/>
  <c r="B43" i="103"/>
  <c r="Z42" i="103"/>
  <c r="X42" i="103"/>
  <c r="N42" i="103"/>
  <c r="L42" i="103"/>
  <c r="B42" i="103"/>
  <c r="Z41" i="103"/>
  <c r="X41" i="103"/>
  <c r="L41" i="103"/>
  <c r="N41" i="103" s="1"/>
  <c r="B41" i="103"/>
  <c r="Z40" i="103"/>
  <c r="X40" i="103"/>
  <c r="V40" i="103"/>
  <c r="N40" i="103"/>
  <c r="L40" i="103"/>
  <c r="B40" i="103"/>
  <c r="Z39" i="103"/>
  <c r="X39" i="103"/>
  <c r="L39" i="103"/>
  <c r="N39" i="103" s="1"/>
  <c r="B39" i="103"/>
  <c r="Z38" i="103"/>
  <c r="X38" i="103"/>
  <c r="N38" i="103"/>
  <c r="L38" i="103"/>
  <c r="B38" i="103"/>
  <c r="T37" i="103"/>
  <c r="P37" i="103"/>
  <c r="X37" i="103" s="1"/>
  <c r="Z37" i="103" s="1"/>
  <c r="H37" i="103"/>
  <c r="F37" i="103"/>
  <c r="D37" i="103"/>
  <c r="L37" i="103" s="1"/>
  <c r="N37" i="103" s="1"/>
  <c r="B37" i="103"/>
  <c r="X36" i="103"/>
  <c r="Z36" i="103" s="1"/>
  <c r="L36" i="103"/>
  <c r="N36" i="103" s="1"/>
  <c r="B36" i="103"/>
  <c r="X35" i="103"/>
  <c r="Z35" i="103" s="1"/>
  <c r="V35" i="103"/>
  <c r="L35" i="103"/>
  <c r="N35" i="103" s="1"/>
  <c r="B35" i="103"/>
  <c r="Z34" i="103"/>
  <c r="X34" i="103"/>
  <c r="N34" i="103"/>
  <c r="L34" i="103"/>
  <c r="B34" i="103"/>
  <c r="Z33" i="103"/>
  <c r="X33" i="103"/>
  <c r="N33" i="103"/>
  <c r="L33" i="103"/>
  <c r="J33" i="103"/>
  <c r="B33" i="103"/>
  <c r="Z32" i="103"/>
  <c r="X32" i="103"/>
  <c r="N32" i="103"/>
  <c r="L32" i="103"/>
  <c r="B32" i="103"/>
  <c r="Z31" i="103"/>
  <c r="X31" i="103"/>
  <c r="V31" i="103"/>
  <c r="L31" i="103"/>
  <c r="N31" i="103" s="1"/>
  <c r="B31" i="103"/>
  <c r="Z30" i="103"/>
  <c r="X30" i="103"/>
  <c r="N30" i="103"/>
  <c r="L30" i="103"/>
  <c r="B30" i="103"/>
  <c r="X29" i="103"/>
  <c r="Z29" i="103" s="1"/>
  <c r="L29" i="103"/>
  <c r="N29" i="103" s="1"/>
  <c r="J29" i="103"/>
  <c r="B29" i="103"/>
  <c r="X28" i="103"/>
  <c r="Z28" i="103" s="1"/>
  <c r="L28" i="103"/>
  <c r="N28" i="103" s="1"/>
  <c r="B28" i="103"/>
  <c r="X27" i="103"/>
  <c r="Z27" i="103" s="1"/>
  <c r="V27" i="103"/>
  <c r="L27" i="103"/>
  <c r="N27" i="103" s="1"/>
  <c r="B27" i="103"/>
  <c r="T26" i="103"/>
  <c r="P26" i="103"/>
  <c r="J26" i="103"/>
  <c r="H26" i="103"/>
  <c r="N26" i="103" s="1"/>
  <c r="D26" i="103"/>
  <c r="L26" i="103" s="1"/>
  <c r="B26" i="103"/>
  <c r="T25" i="103"/>
  <c r="P25" i="103"/>
  <c r="H25" i="103"/>
  <c r="N25" i="103" s="1"/>
  <c r="D25" i="103"/>
  <c r="L25" i="103" s="1"/>
  <c r="V23" i="103"/>
  <c r="T23" i="103"/>
  <c r="Z21" i="103"/>
  <c r="X21" i="103"/>
  <c r="V21" i="103"/>
  <c r="N21" i="103"/>
  <c r="L21" i="103"/>
  <c r="B21" i="103"/>
  <c r="Z20" i="103"/>
  <c r="X20" i="103"/>
  <c r="V20" i="103"/>
  <c r="N20" i="103"/>
  <c r="L20" i="103"/>
  <c r="J20" i="103"/>
  <c r="B20" i="103"/>
  <c r="X19" i="103"/>
  <c r="Z19" i="103" s="1"/>
  <c r="L19" i="103"/>
  <c r="N19" i="103" s="1"/>
  <c r="B19" i="103"/>
  <c r="Z18" i="103"/>
  <c r="X18" i="103"/>
  <c r="T18" i="103"/>
  <c r="P18" i="103"/>
  <c r="J18" i="103"/>
  <c r="H18" i="103"/>
  <c r="D18" i="103"/>
  <c r="L18" i="103" s="1"/>
  <c r="N18" i="103" s="1"/>
  <c r="Z16" i="103"/>
  <c r="X16" i="103"/>
  <c r="P16" i="103"/>
  <c r="N16" i="103"/>
  <c r="L16" i="103"/>
  <c r="D16" i="103"/>
  <c r="B16" i="103"/>
  <c r="Z15" i="103"/>
  <c r="X15" i="103"/>
  <c r="P15" i="103"/>
  <c r="N15" i="103"/>
  <c r="L15" i="103"/>
  <c r="D15" i="103"/>
  <c r="B15" i="103"/>
  <c r="P14" i="103"/>
  <c r="X14" i="103" s="1"/>
  <c r="Z14" i="103" s="1"/>
  <c r="D14" i="103"/>
  <c r="L14" i="103" s="1"/>
  <c r="N14" i="103" s="1"/>
  <c r="B14" i="103"/>
  <c r="Z13" i="103"/>
  <c r="P13" i="103"/>
  <c r="N13" i="103"/>
  <c r="L13" i="103"/>
  <c r="D13" i="103"/>
  <c r="B13" i="103"/>
  <c r="T12" i="103"/>
  <c r="V72" i="103" s="1"/>
  <c r="H12" i="103"/>
  <c r="J60" i="103" s="1"/>
  <c r="D12" i="103"/>
  <c r="F69" i="103" s="1"/>
  <c r="D6" i="103"/>
  <c r="D4" i="103"/>
  <c r="Z60" i="102"/>
  <c r="X60" i="102"/>
  <c r="N60" i="102"/>
  <c r="L60" i="102"/>
  <c r="V58" i="102"/>
  <c r="X56" i="102"/>
  <c r="V56" i="102"/>
  <c r="T56" i="102"/>
  <c r="Z56" i="102" s="1"/>
  <c r="P56" i="102"/>
  <c r="H56" i="102"/>
  <c r="N56" i="102" s="1"/>
  <c r="D56" i="102"/>
  <c r="L56" i="102" s="1"/>
  <c r="X54" i="102"/>
  <c r="Z54" i="102" s="1"/>
  <c r="V54" i="102"/>
  <c r="R54" i="102"/>
  <c r="L54" i="102"/>
  <c r="N54" i="102" s="1"/>
  <c r="B54" i="102"/>
  <c r="T53" i="102"/>
  <c r="R53" i="102"/>
  <c r="P53" i="102"/>
  <c r="X53" i="102" s="1"/>
  <c r="Z53" i="102" s="1"/>
  <c r="H53" i="102"/>
  <c r="D53" i="102"/>
  <c r="L53" i="102" s="1"/>
  <c r="N53" i="102" s="1"/>
  <c r="B53" i="102"/>
  <c r="Z52" i="102"/>
  <c r="X52" i="102"/>
  <c r="R52" i="102"/>
  <c r="N52" i="102"/>
  <c r="L52" i="102"/>
  <c r="B52" i="102"/>
  <c r="T51" i="102"/>
  <c r="P51" i="102"/>
  <c r="L51" i="102"/>
  <c r="N51" i="102" s="1"/>
  <c r="H51" i="102"/>
  <c r="D51" i="102"/>
  <c r="B51" i="102"/>
  <c r="X50" i="102"/>
  <c r="Z50" i="102" s="1"/>
  <c r="L50" i="102"/>
  <c r="N50" i="102" s="1"/>
  <c r="B50" i="102"/>
  <c r="X49" i="102"/>
  <c r="Z49" i="102" s="1"/>
  <c r="L49" i="102"/>
  <c r="N49" i="102" s="1"/>
  <c r="B49" i="102"/>
  <c r="Z48" i="102"/>
  <c r="X48" i="102"/>
  <c r="T48" i="102"/>
  <c r="P48" i="102"/>
  <c r="H48" i="102"/>
  <c r="D48" i="102"/>
  <c r="L48" i="102" s="1"/>
  <c r="N48" i="102" s="1"/>
  <c r="B48" i="102"/>
  <c r="Z47" i="102"/>
  <c r="X47" i="102"/>
  <c r="L47" i="102"/>
  <c r="N47" i="102" s="1"/>
  <c r="B47" i="102"/>
  <c r="X46" i="102"/>
  <c r="Z46" i="102" s="1"/>
  <c r="V46" i="102"/>
  <c r="R46" i="102"/>
  <c r="L46" i="102"/>
  <c r="N46" i="102" s="1"/>
  <c r="B46" i="102"/>
  <c r="X45" i="102"/>
  <c r="Z45" i="102" s="1"/>
  <c r="N45" i="102"/>
  <c r="L45" i="102"/>
  <c r="B45" i="102"/>
  <c r="T44" i="102"/>
  <c r="P44" i="102"/>
  <c r="X44" i="102" s="1"/>
  <c r="Z44" i="102" s="1"/>
  <c r="L44" i="102"/>
  <c r="H44" i="102"/>
  <c r="D44" i="102"/>
  <c r="B44" i="102"/>
  <c r="X43" i="102"/>
  <c r="Z43" i="102" s="1"/>
  <c r="L43" i="102"/>
  <c r="N43" i="102" s="1"/>
  <c r="B43" i="102"/>
  <c r="T42" i="102"/>
  <c r="P42" i="102"/>
  <c r="X42" i="102" s="1"/>
  <c r="Z42" i="102" s="1"/>
  <c r="H42" i="102"/>
  <c r="D42" i="102"/>
  <c r="B42" i="102"/>
  <c r="Z41" i="102"/>
  <c r="X41" i="102"/>
  <c r="N41" i="102"/>
  <c r="L41" i="102"/>
  <c r="B41" i="102"/>
  <c r="Z40" i="102"/>
  <c r="X40" i="102"/>
  <c r="T40" i="102"/>
  <c r="P40" i="102"/>
  <c r="N40" i="102"/>
  <c r="H40" i="102"/>
  <c r="D40" i="102"/>
  <c r="L40" i="102" s="1"/>
  <c r="B40" i="102"/>
  <c r="Z39" i="102"/>
  <c r="X39" i="102"/>
  <c r="N39" i="102"/>
  <c r="L39" i="102"/>
  <c r="B39" i="102"/>
  <c r="Z38" i="102"/>
  <c r="X38" i="102"/>
  <c r="V38" i="102"/>
  <c r="R38" i="102"/>
  <c r="N38" i="102"/>
  <c r="L38" i="102"/>
  <c r="B38" i="102"/>
  <c r="Z37" i="102"/>
  <c r="X37" i="102"/>
  <c r="N37" i="102"/>
  <c r="L37" i="102"/>
  <c r="B37" i="102"/>
  <c r="Z36" i="102"/>
  <c r="X36" i="102"/>
  <c r="N36" i="102"/>
  <c r="L36" i="102"/>
  <c r="B36" i="102"/>
  <c r="Z35" i="102"/>
  <c r="X35" i="102"/>
  <c r="R35" i="102"/>
  <c r="N35" i="102"/>
  <c r="L35" i="102"/>
  <c r="B35" i="102"/>
  <c r="Z34" i="102"/>
  <c r="X34" i="102"/>
  <c r="V34" i="102"/>
  <c r="R34" i="102"/>
  <c r="N34" i="102"/>
  <c r="L34" i="102"/>
  <c r="B34" i="102"/>
  <c r="Z33" i="102"/>
  <c r="X33" i="102"/>
  <c r="N33" i="102"/>
  <c r="L33" i="102"/>
  <c r="B33" i="102"/>
  <c r="Z32" i="102"/>
  <c r="X32" i="102"/>
  <c r="N32" i="102"/>
  <c r="L32" i="102"/>
  <c r="B32" i="102"/>
  <c r="Z31" i="102"/>
  <c r="X31" i="102"/>
  <c r="R31" i="102"/>
  <c r="L31" i="102"/>
  <c r="N31" i="102" s="1"/>
  <c r="B31" i="102"/>
  <c r="Z30" i="102"/>
  <c r="X30" i="102"/>
  <c r="V30" i="102"/>
  <c r="R30" i="102"/>
  <c r="N30" i="102"/>
  <c r="L30" i="102"/>
  <c r="B30" i="102"/>
  <c r="T29" i="102"/>
  <c r="R29" i="102"/>
  <c r="P29" i="102"/>
  <c r="X29" i="102" s="1"/>
  <c r="Z29" i="102" s="1"/>
  <c r="N29" i="102"/>
  <c r="H29" i="102"/>
  <c r="D29" i="102"/>
  <c r="L29" i="102" s="1"/>
  <c r="B29" i="102"/>
  <c r="Z28" i="102"/>
  <c r="X28" i="102"/>
  <c r="R28" i="102"/>
  <c r="N28" i="102"/>
  <c r="L28" i="102"/>
  <c r="B28" i="102"/>
  <c r="X27" i="102"/>
  <c r="Z27" i="102" s="1"/>
  <c r="R27" i="102"/>
  <c r="L27" i="102"/>
  <c r="N27" i="102" s="1"/>
  <c r="B27" i="102"/>
  <c r="X26" i="102"/>
  <c r="Z26" i="102" s="1"/>
  <c r="L26" i="102"/>
  <c r="N26" i="102" s="1"/>
  <c r="B26" i="102"/>
  <c r="Z25" i="102"/>
  <c r="X25" i="102"/>
  <c r="V25" i="102"/>
  <c r="N25" i="102"/>
  <c r="L25" i="102"/>
  <c r="B25" i="102"/>
  <c r="Z24" i="102"/>
  <c r="X24" i="102"/>
  <c r="R24" i="102"/>
  <c r="L24" i="102"/>
  <c r="N24" i="102" s="1"/>
  <c r="B24" i="102"/>
  <c r="X23" i="102"/>
  <c r="Z23" i="102" s="1"/>
  <c r="R23" i="102"/>
  <c r="L23" i="102"/>
  <c r="N23" i="102" s="1"/>
  <c r="B23" i="102"/>
  <c r="X22" i="102"/>
  <c r="Z22" i="102" s="1"/>
  <c r="V22" i="102"/>
  <c r="L22" i="102"/>
  <c r="N22" i="102" s="1"/>
  <c r="B22" i="102"/>
  <c r="X21" i="102"/>
  <c r="Z21" i="102" s="1"/>
  <c r="V21" i="102"/>
  <c r="L21" i="102"/>
  <c r="N21" i="102" s="1"/>
  <c r="B21" i="102"/>
  <c r="Z20" i="102"/>
  <c r="X20" i="102"/>
  <c r="R20" i="102"/>
  <c r="N20" i="102"/>
  <c r="L20" i="102"/>
  <c r="B20" i="102"/>
  <c r="V19" i="102"/>
  <c r="T19" i="102"/>
  <c r="P19" i="102"/>
  <c r="H19" i="102"/>
  <c r="D19" i="102"/>
  <c r="L19" i="102" s="1"/>
  <c r="N19" i="102" s="1"/>
  <c r="B19" i="102"/>
  <c r="T18" i="102"/>
  <c r="P18" i="102"/>
  <c r="X18" i="102" s="1"/>
  <c r="Z18" i="102" s="1"/>
  <c r="N18" i="102"/>
  <c r="L18" i="102"/>
  <c r="H18" i="102"/>
  <c r="D18" i="102"/>
  <c r="Z14" i="102"/>
  <c r="T14" i="102"/>
  <c r="P14" i="102"/>
  <c r="X14" i="102" s="1"/>
  <c r="N14" i="102"/>
  <c r="L14" i="102"/>
  <c r="H14" i="102"/>
  <c r="D14" i="102"/>
  <c r="X12" i="102"/>
  <c r="T12" i="102"/>
  <c r="V48" i="102" s="1"/>
  <c r="P12" i="102"/>
  <c r="R58" i="102" s="1"/>
  <c r="H12" i="102"/>
  <c r="D12" i="102"/>
  <c r="D6" i="102"/>
  <c r="D4" i="102"/>
  <c r="J46" i="101"/>
  <c r="J43" i="101"/>
  <c r="Z41" i="101"/>
  <c r="X41" i="101"/>
  <c r="N41" i="101"/>
  <c r="L41" i="101"/>
  <c r="Z37" i="101"/>
  <c r="X37" i="101"/>
  <c r="T37" i="101"/>
  <c r="R37" i="101"/>
  <c r="P37" i="101"/>
  <c r="N37" i="101"/>
  <c r="H37" i="101"/>
  <c r="D37" i="101"/>
  <c r="L37" i="101" s="1"/>
  <c r="Z35" i="101"/>
  <c r="X35" i="101"/>
  <c r="N35" i="101"/>
  <c r="L35" i="101"/>
  <c r="F35" i="101"/>
  <c r="B35" i="101"/>
  <c r="T34" i="101"/>
  <c r="P34" i="101"/>
  <c r="H34" i="101"/>
  <c r="N34" i="101" s="1"/>
  <c r="F34" i="101"/>
  <c r="D34" i="101"/>
  <c r="L34" i="101" s="1"/>
  <c r="B34" i="101"/>
  <c r="Z33" i="101"/>
  <c r="X33" i="101"/>
  <c r="N33" i="101"/>
  <c r="L33" i="101"/>
  <c r="B33" i="101"/>
  <c r="Z32" i="101"/>
  <c r="X32" i="101"/>
  <c r="N32" i="101"/>
  <c r="L32" i="101"/>
  <c r="J32" i="101"/>
  <c r="B32" i="101"/>
  <c r="T31" i="101"/>
  <c r="Z31" i="101" s="1"/>
  <c r="P31" i="101"/>
  <c r="J31" i="101"/>
  <c r="H31" i="101"/>
  <c r="N31" i="101" s="1"/>
  <c r="D31" i="101"/>
  <c r="L31" i="101" s="1"/>
  <c r="B31" i="101"/>
  <c r="Z30" i="101"/>
  <c r="X30" i="101"/>
  <c r="N30" i="101"/>
  <c r="L30" i="101"/>
  <c r="B30" i="101"/>
  <c r="T29" i="101"/>
  <c r="Z29" i="101" s="1"/>
  <c r="P29" i="101"/>
  <c r="X29" i="101" s="1"/>
  <c r="H29" i="101"/>
  <c r="N29" i="101" s="1"/>
  <c r="F29" i="101"/>
  <c r="D29" i="101"/>
  <c r="B29" i="101"/>
  <c r="X28" i="101"/>
  <c r="Z28" i="101" s="1"/>
  <c r="L28" i="101"/>
  <c r="N28" i="101" s="1"/>
  <c r="B28" i="101"/>
  <c r="T27" i="101"/>
  <c r="R27" i="101"/>
  <c r="P27" i="101"/>
  <c r="J27" i="101"/>
  <c r="H27" i="101"/>
  <c r="D27" i="101"/>
  <c r="L27" i="101" s="1"/>
  <c r="N27" i="101" s="1"/>
  <c r="B27" i="101"/>
  <c r="Z26" i="101"/>
  <c r="X26" i="101"/>
  <c r="R26" i="101"/>
  <c r="N26" i="101"/>
  <c r="L26" i="101"/>
  <c r="B26" i="101"/>
  <c r="X25" i="101"/>
  <c r="T25" i="101"/>
  <c r="Z25" i="101" s="1"/>
  <c r="P25" i="101"/>
  <c r="J25" i="101"/>
  <c r="H25" i="101"/>
  <c r="N25" i="101" s="1"/>
  <c r="F25" i="101"/>
  <c r="D25" i="101"/>
  <c r="B25" i="101"/>
  <c r="Z24" i="101"/>
  <c r="X24" i="101"/>
  <c r="N24" i="101"/>
  <c r="L24" i="101"/>
  <c r="F24" i="101"/>
  <c r="B24" i="101"/>
  <c r="Z23" i="101"/>
  <c r="X23" i="101"/>
  <c r="N23" i="101"/>
  <c r="L23" i="101"/>
  <c r="B23" i="101"/>
  <c r="Z22" i="101"/>
  <c r="X22" i="101"/>
  <c r="N22" i="101"/>
  <c r="L22" i="101"/>
  <c r="J22" i="101"/>
  <c r="F22" i="101"/>
  <c r="B22" i="101"/>
  <c r="Z21" i="101"/>
  <c r="X21" i="101"/>
  <c r="N21" i="101"/>
  <c r="L21" i="101"/>
  <c r="J21" i="101"/>
  <c r="B21" i="101"/>
  <c r="Z20" i="101"/>
  <c r="X20" i="101"/>
  <c r="N20" i="101"/>
  <c r="L20" i="101"/>
  <c r="B20" i="101"/>
  <c r="T19" i="101"/>
  <c r="Z19" i="101" s="1"/>
  <c r="P19" i="101"/>
  <c r="J19" i="101"/>
  <c r="H19" i="101"/>
  <c r="N19" i="101" s="1"/>
  <c r="F19" i="101"/>
  <c r="D19" i="101"/>
  <c r="L19" i="101" s="1"/>
  <c r="B19" i="101"/>
  <c r="T18" i="101"/>
  <c r="X18" i="101" s="1"/>
  <c r="P18" i="101"/>
  <c r="H18" i="101"/>
  <c r="N18" i="101" s="1"/>
  <c r="F18" i="101"/>
  <c r="D18" i="101"/>
  <c r="L18" i="101" s="1"/>
  <c r="N16" i="101"/>
  <c r="H16" i="101"/>
  <c r="F16" i="101"/>
  <c r="D16" i="101"/>
  <c r="L16" i="101" s="1"/>
  <c r="X14" i="101"/>
  <c r="T14" i="101"/>
  <c r="Z14" i="101" s="1"/>
  <c r="P14" i="101"/>
  <c r="N14" i="101"/>
  <c r="L14" i="101"/>
  <c r="H14" i="101"/>
  <c r="F14" i="101"/>
  <c r="D14" i="101"/>
  <c r="T12" i="101"/>
  <c r="V34" i="101" s="1"/>
  <c r="P12" i="101"/>
  <c r="N12" i="101"/>
  <c r="H12" i="101"/>
  <c r="D12" i="101"/>
  <c r="D6" i="101"/>
  <c r="D4" i="101"/>
  <c r="R37" i="100"/>
  <c r="R34" i="100"/>
  <c r="J34" i="100"/>
  <c r="Z32" i="100"/>
  <c r="X32" i="100"/>
  <c r="R32" i="100"/>
  <c r="N32" i="100"/>
  <c r="L32" i="100"/>
  <c r="R30" i="100"/>
  <c r="T28" i="100"/>
  <c r="Z28" i="100" s="1"/>
  <c r="R28" i="100"/>
  <c r="P28" i="100"/>
  <c r="X28" i="100" s="1"/>
  <c r="N28" i="100"/>
  <c r="H28" i="100"/>
  <c r="F28" i="100"/>
  <c r="D28" i="100"/>
  <c r="L28" i="100" s="1"/>
  <c r="Z26" i="100"/>
  <c r="X26" i="100"/>
  <c r="R26" i="100"/>
  <c r="N26" i="100"/>
  <c r="L26" i="100"/>
  <c r="B26" i="100"/>
  <c r="Z25" i="100"/>
  <c r="T25" i="100"/>
  <c r="R25" i="100"/>
  <c r="P25" i="100"/>
  <c r="X25" i="100" s="1"/>
  <c r="L25" i="100"/>
  <c r="J25" i="100"/>
  <c r="H25" i="100"/>
  <c r="N25" i="100" s="1"/>
  <c r="D25" i="100"/>
  <c r="B25" i="100"/>
  <c r="Z24" i="100"/>
  <c r="X24" i="100"/>
  <c r="R24" i="100"/>
  <c r="N24" i="100"/>
  <c r="L24" i="100"/>
  <c r="J24" i="100"/>
  <c r="F24" i="100"/>
  <c r="B24" i="100"/>
  <c r="T23" i="100"/>
  <c r="Z23" i="100" s="1"/>
  <c r="R23" i="100"/>
  <c r="P23" i="100"/>
  <c r="X23" i="100" s="1"/>
  <c r="H23" i="100"/>
  <c r="F23" i="100"/>
  <c r="D23" i="100"/>
  <c r="B23" i="100"/>
  <c r="Z22" i="100"/>
  <c r="X22" i="100"/>
  <c r="R22" i="100"/>
  <c r="N22" i="100"/>
  <c r="L22" i="100"/>
  <c r="F22" i="100"/>
  <c r="B22" i="100"/>
  <c r="Z21" i="100"/>
  <c r="T21" i="100"/>
  <c r="R21" i="100"/>
  <c r="P21" i="100"/>
  <c r="X21" i="100" s="1"/>
  <c r="H21" i="100"/>
  <c r="N21" i="100" s="1"/>
  <c r="F21" i="100"/>
  <c r="D21" i="100"/>
  <c r="L21" i="100" s="1"/>
  <c r="B21" i="100"/>
  <c r="Z20" i="100"/>
  <c r="X20" i="100"/>
  <c r="R20" i="100"/>
  <c r="N20" i="100"/>
  <c r="L20" i="100"/>
  <c r="B20" i="100"/>
  <c r="X19" i="100"/>
  <c r="V19" i="100"/>
  <c r="T19" i="100"/>
  <c r="Z19" i="100" s="1"/>
  <c r="P19" i="100"/>
  <c r="H19" i="100"/>
  <c r="D19" i="100"/>
  <c r="L19" i="100" s="1"/>
  <c r="N19" i="100" s="1"/>
  <c r="B19" i="100"/>
  <c r="X18" i="100"/>
  <c r="Z18" i="100" s="1"/>
  <c r="T18" i="100"/>
  <c r="P18" i="100"/>
  <c r="H18" i="100"/>
  <c r="F18" i="100"/>
  <c r="D18" i="100"/>
  <c r="L18" i="100" s="1"/>
  <c r="N18" i="100" s="1"/>
  <c r="F16" i="100"/>
  <c r="Z14" i="100"/>
  <c r="X14" i="100"/>
  <c r="T14" i="100"/>
  <c r="P14" i="100"/>
  <c r="P16" i="100" s="1"/>
  <c r="N14" i="100"/>
  <c r="H14" i="100"/>
  <c r="F14" i="100"/>
  <c r="D14" i="100"/>
  <c r="L14" i="100" s="1"/>
  <c r="Z12" i="100"/>
  <c r="X12" i="100"/>
  <c r="T12" i="100"/>
  <c r="P12" i="100"/>
  <c r="R19" i="100" s="1"/>
  <c r="H12" i="100"/>
  <c r="J28" i="100" s="1"/>
  <c r="D12" i="100"/>
  <c r="F20" i="100" s="1"/>
  <c r="D6" i="100"/>
  <c r="D4" i="100"/>
  <c r="V63" i="99"/>
  <c r="J63" i="99"/>
  <c r="J60" i="99"/>
  <c r="Z58" i="99"/>
  <c r="X58" i="99"/>
  <c r="R58" i="99"/>
  <c r="N58" i="99"/>
  <c r="L58" i="99"/>
  <c r="J56" i="99"/>
  <c r="P54" i="99"/>
  <c r="X54" i="99" s="1"/>
  <c r="Z54" i="99" s="1"/>
  <c r="L54" i="99"/>
  <c r="N54" i="99" s="1"/>
  <c r="J54" i="99"/>
  <c r="D54" i="99"/>
  <c r="B54" i="99"/>
  <c r="X53" i="99"/>
  <c r="Z53" i="99" s="1"/>
  <c r="P53" i="99"/>
  <c r="P51" i="99" s="1"/>
  <c r="X51" i="99" s="1"/>
  <c r="N53" i="99"/>
  <c r="L53" i="99"/>
  <c r="J53" i="99"/>
  <c r="F53" i="99"/>
  <c r="D53" i="99"/>
  <c r="B53" i="99"/>
  <c r="X52" i="99"/>
  <c r="Z52" i="99" s="1"/>
  <c r="P52" i="99"/>
  <c r="J52" i="99"/>
  <c r="F52" i="99"/>
  <c r="D52" i="99"/>
  <c r="B52" i="99"/>
  <c r="T51" i="99"/>
  <c r="J51" i="99"/>
  <c r="H51" i="99"/>
  <c r="F51" i="99"/>
  <c r="Z49" i="99"/>
  <c r="X49" i="99"/>
  <c r="N49" i="99"/>
  <c r="L49" i="99"/>
  <c r="B49" i="99"/>
  <c r="Z48" i="99"/>
  <c r="X48" i="99"/>
  <c r="T48" i="99"/>
  <c r="P48" i="99"/>
  <c r="N48" i="99"/>
  <c r="H48" i="99"/>
  <c r="D48" i="99"/>
  <c r="L48" i="99" s="1"/>
  <c r="B48" i="99"/>
  <c r="Z47" i="99"/>
  <c r="X47" i="99"/>
  <c r="L47" i="99"/>
  <c r="N47" i="99" s="1"/>
  <c r="B47" i="99"/>
  <c r="T46" i="99"/>
  <c r="P46" i="99"/>
  <c r="J46" i="99"/>
  <c r="H46" i="99"/>
  <c r="D46" i="99"/>
  <c r="L46" i="99" s="1"/>
  <c r="B46" i="99"/>
  <c r="X45" i="99"/>
  <c r="Z45" i="99" s="1"/>
  <c r="N45" i="99"/>
  <c r="L45" i="99"/>
  <c r="F45" i="99"/>
  <c r="B45" i="99"/>
  <c r="T44" i="99"/>
  <c r="Z44" i="99" s="1"/>
  <c r="R44" i="99"/>
  <c r="P44" i="99"/>
  <c r="X44" i="99" s="1"/>
  <c r="H44" i="99"/>
  <c r="F44" i="99"/>
  <c r="D44" i="99"/>
  <c r="L44" i="99" s="1"/>
  <c r="N44" i="99" s="1"/>
  <c r="B44" i="99"/>
  <c r="Z43" i="99"/>
  <c r="X43" i="99"/>
  <c r="N43" i="99"/>
  <c r="L43" i="99"/>
  <c r="B43" i="99"/>
  <c r="Z42" i="99"/>
  <c r="X42" i="99"/>
  <c r="N42" i="99"/>
  <c r="L42" i="99"/>
  <c r="J42" i="99"/>
  <c r="F42" i="99"/>
  <c r="B42" i="99"/>
  <c r="T41" i="99"/>
  <c r="Z41" i="99" s="1"/>
  <c r="P41" i="99"/>
  <c r="X41" i="99" s="1"/>
  <c r="J41" i="99"/>
  <c r="H41" i="99"/>
  <c r="F41" i="99"/>
  <c r="D41" i="99"/>
  <c r="B41" i="99"/>
  <c r="X40" i="99"/>
  <c r="Z40" i="99" s="1"/>
  <c r="N40" i="99"/>
  <c r="L40" i="99"/>
  <c r="J40" i="99"/>
  <c r="F40" i="99"/>
  <c r="B40" i="99"/>
  <c r="T39" i="99"/>
  <c r="P39" i="99"/>
  <c r="X39" i="99" s="1"/>
  <c r="Z39" i="99" s="1"/>
  <c r="H39" i="99"/>
  <c r="N39" i="99" s="1"/>
  <c r="F39" i="99"/>
  <c r="D39" i="99"/>
  <c r="L39" i="99" s="1"/>
  <c r="B39" i="99"/>
  <c r="Z38" i="99"/>
  <c r="X38" i="99"/>
  <c r="N38" i="99"/>
  <c r="L38" i="99"/>
  <c r="B38" i="99"/>
  <c r="Z37" i="99"/>
  <c r="X37" i="99"/>
  <c r="N37" i="99"/>
  <c r="L37" i="99"/>
  <c r="F37" i="99"/>
  <c r="B37" i="99"/>
  <c r="Z36" i="99"/>
  <c r="X36" i="99"/>
  <c r="N36" i="99"/>
  <c r="L36" i="99"/>
  <c r="J36" i="99"/>
  <c r="B36" i="99"/>
  <c r="Z35" i="99"/>
  <c r="X35" i="99"/>
  <c r="N35" i="99"/>
  <c r="L35" i="99"/>
  <c r="J35" i="99"/>
  <c r="F35" i="99"/>
  <c r="B35" i="99"/>
  <c r="Z34" i="99"/>
  <c r="X34" i="99"/>
  <c r="N34" i="99"/>
  <c r="L34" i="99"/>
  <c r="B34" i="99"/>
  <c r="Z33" i="99"/>
  <c r="X33" i="99"/>
  <c r="N33" i="99"/>
  <c r="L33" i="99"/>
  <c r="J33" i="99"/>
  <c r="F33" i="99"/>
  <c r="B33" i="99"/>
  <c r="Z32" i="99"/>
  <c r="X32" i="99"/>
  <c r="N32" i="99"/>
  <c r="L32" i="99"/>
  <c r="J32" i="99"/>
  <c r="B32" i="99"/>
  <c r="Z31" i="99"/>
  <c r="X31" i="99"/>
  <c r="N31" i="99"/>
  <c r="L31" i="99"/>
  <c r="J31" i="99"/>
  <c r="F31" i="99"/>
  <c r="B31" i="99"/>
  <c r="Z30" i="99"/>
  <c r="X30" i="99"/>
  <c r="N30" i="99"/>
  <c r="L30" i="99"/>
  <c r="B30" i="99"/>
  <c r="X29" i="99"/>
  <c r="Z29" i="99" s="1"/>
  <c r="V29" i="99"/>
  <c r="L29" i="99"/>
  <c r="N29" i="99" s="1"/>
  <c r="J29" i="99"/>
  <c r="F29" i="99"/>
  <c r="B29" i="99"/>
  <c r="T28" i="99"/>
  <c r="P28" i="99"/>
  <c r="X28" i="99" s="1"/>
  <c r="H28" i="99"/>
  <c r="F28" i="99"/>
  <c r="D28" i="99"/>
  <c r="L28" i="99" s="1"/>
  <c r="N28" i="99" s="1"/>
  <c r="B28" i="99"/>
  <c r="Z27" i="99"/>
  <c r="X27" i="99"/>
  <c r="R27" i="99"/>
  <c r="N27" i="99"/>
  <c r="L27" i="99"/>
  <c r="B27" i="99"/>
  <c r="Z26" i="99"/>
  <c r="X26" i="99"/>
  <c r="N26" i="99"/>
  <c r="L26" i="99"/>
  <c r="J26" i="99"/>
  <c r="F26" i="99"/>
  <c r="B26" i="99"/>
  <c r="Z25" i="99"/>
  <c r="X25" i="99"/>
  <c r="N25" i="99"/>
  <c r="L25" i="99"/>
  <c r="J25" i="99"/>
  <c r="F25" i="99"/>
  <c r="B25" i="99"/>
  <c r="Z24" i="99"/>
  <c r="X24" i="99"/>
  <c r="L24" i="99"/>
  <c r="N24" i="99" s="1"/>
  <c r="J24" i="99"/>
  <c r="B24" i="99"/>
  <c r="X23" i="99"/>
  <c r="Z23" i="99" s="1"/>
  <c r="R23" i="99"/>
  <c r="N23" i="99"/>
  <c r="L23" i="99"/>
  <c r="B23" i="99"/>
  <c r="Z22" i="99"/>
  <c r="X22" i="99"/>
  <c r="N22" i="99"/>
  <c r="L22" i="99"/>
  <c r="J22" i="99"/>
  <c r="F22" i="99"/>
  <c r="B22" i="99"/>
  <c r="X21" i="99"/>
  <c r="Z21" i="99" s="1"/>
  <c r="N21" i="99"/>
  <c r="L21" i="99"/>
  <c r="J21" i="99"/>
  <c r="F21" i="99"/>
  <c r="B21" i="99"/>
  <c r="Z20" i="99"/>
  <c r="X20" i="99"/>
  <c r="L20" i="99"/>
  <c r="N20" i="99" s="1"/>
  <c r="J20" i="99"/>
  <c r="B20" i="99"/>
  <c r="T19" i="99"/>
  <c r="P19" i="99"/>
  <c r="J19" i="99"/>
  <c r="H19" i="99"/>
  <c r="N19" i="99" s="1"/>
  <c r="D19" i="99"/>
  <c r="L19" i="99" s="1"/>
  <c r="B19" i="99"/>
  <c r="V18" i="99"/>
  <c r="T18" i="99"/>
  <c r="P18" i="99"/>
  <c r="J18" i="99"/>
  <c r="H18" i="99"/>
  <c r="D18" i="99"/>
  <c r="L18" i="99" s="1"/>
  <c r="T16" i="99"/>
  <c r="J16" i="99"/>
  <c r="V14" i="99"/>
  <c r="T14" i="99"/>
  <c r="P14" i="99"/>
  <c r="J14" i="99"/>
  <c r="H14" i="99"/>
  <c r="N14" i="99" s="1"/>
  <c r="D14" i="99"/>
  <c r="L14" i="99" s="1"/>
  <c r="T12" i="99"/>
  <c r="V58" i="99" s="1"/>
  <c r="P12" i="99"/>
  <c r="R19" i="99" s="1"/>
  <c r="N12" i="99"/>
  <c r="H12" i="99"/>
  <c r="J43" i="99" s="1"/>
  <c r="D12" i="99"/>
  <c r="F36" i="99" s="1"/>
  <c r="D6" i="99"/>
  <c r="D4" i="99"/>
  <c r="Z27" i="98"/>
  <c r="X27" i="98"/>
  <c r="N27" i="98"/>
  <c r="L27" i="98"/>
  <c r="J27" i="98"/>
  <c r="V25" i="98"/>
  <c r="J25" i="98"/>
  <c r="V23" i="98"/>
  <c r="T23" i="98"/>
  <c r="Z23" i="98" s="1"/>
  <c r="P23" i="98"/>
  <c r="X23" i="98" s="1"/>
  <c r="J23" i="98"/>
  <c r="H23" i="98"/>
  <c r="D23" i="98"/>
  <c r="Z21" i="98"/>
  <c r="X21" i="98"/>
  <c r="V21" i="98"/>
  <c r="N21" i="98"/>
  <c r="L21" i="98"/>
  <c r="J21" i="98"/>
  <c r="B21" i="98"/>
  <c r="Z20" i="98"/>
  <c r="T20" i="98"/>
  <c r="P20" i="98"/>
  <c r="X20" i="98" s="1"/>
  <c r="J20" i="98"/>
  <c r="H20" i="98"/>
  <c r="N20" i="98" s="1"/>
  <c r="D20" i="98"/>
  <c r="L20" i="98" s="1"/>
  <c r="B20" i="98"/>
  <c r="Z19" i="98"/>
  <c r="T19" i="98"/>
  <c r="P19" i="98"/>
  <c r="X19" i="98" s="1"/>
  <c r="J19" i="98"/>
  <c r="H19" i="98"/>
  <c r="N19" i="98" s="1"/>
  <c r="D19" i="98"/>
  <c r="L19" i="98" s="1"/>
  <c r="J17" i="98"/>
  <c r="Z15" i="98"/>
  <c r="T15" i="98"/>
  <c r="P15" i="98"/>
  <c r="X15" i="98" s="1"/>
  <c r="J15" i="98"/>
  <c r="H15" i="98"/>
  <c r="N15" i="98" s="1"/>
  <c r="F15" i="98"/>
  <c r="D15" i="98"/>
  <c r="L15" i="98" s="1"/>
  <c r="Z13" i="98"/>
  <c r="X13" i="98"/>
  <c r="P13" i="98"/>
  <c r="N13" i="98"/>
  <c r="L13" i="98"/>
  <c r="D13" i="98"/>
  <c r="D12" i="98" s="1"/>
  <c r="B13" i="98"/>
  <c r="T12" i="98"/>
  <c r="V20" i="98" s="1"/>
  <c r="P12" i="98"/>
  <c r="N12" i="98"/>
  <c r="H12" i="98"/>
  <c r="J32" i="98" s="1"/>
  <c r="D6" i="98"/>
  <c r="D4" i="98"/>
  <c r="Z87" i="97"/>
  <c r="X87" i="97"/>
  <c r="N87" i="97"/>
  <c r="L87" i="97"/>
  <c r="Z83" i="97"/>
  <c r="P83" i="97"/>
  <c r="X83" i="97" s="1"/>
  <c r="N83" i="97"/>
  <c r="D83" i="97"/>
  <c r="L83" i="97" s="1"/>
  <c r="B83" i="97"/>
  <c r="Z82" i="97"/>
  <c r="T82" i="97"/>
  <c r="P82" i="97"/>
  <c r="X82" i="97" s="1"/>
  <c r="H82" i="97"/>
  <c r="N82" i="97" s="1"/>
  <c r="Z80" i="97"/>
  <c r="X80" i="97"/>
  <c r="N80" i="97"/>
  <c r="L80" i="97"/>
  <c r="B80" i="97"/>
  <c r="X79" i="97"/>
  <c r="T79" i="97"/>
  <c r="Z79" i="97" s="1"/>
  <c r="P79" i="97"/>
  <c r="N79" i="97"/>
  <c r="L79" i="97"/>
  <c r="H79" i="97"/>
  <c r="D79" i="97"/>
  <c r="B79" i="97"/>
  <c r="Z78" i="97"/>
  <c r="X78" i="97"/>
  <c r="N78" i="97"/>
  <c r="L78" i="97"/>
  <c r="B78" i="97"/>
  <c r="Z77" i="97"/>
  <c r="X77" i="97"/>
  <c r="N77" i="97"/>
  <c r="L77" i="97"/>
  <c r="B77" i="97"/>
  <c r="Z76" i="97"/>
  <c r="T76" i="97"/>
  <c r="P76" i="97"/>
  <c r="X76" i="97" s="1"/>
  <c r="N76" i="97"/>
  <c r="L76" i="97"/>
  <c r="H76" i="97"/>
  <c r="D76" i="97"/>
  <c r="B76" i="97"/>
  <c r="Z75" i="97"/>
  <c r="X75" i="97"/>
  <c r="N75" i="97"/>
  <c r="L75" i="97"/>
  <c r="B75" i="97"/>
  <c r="Z74" i="97"/>
  <c r="X74" i="97"/>
  <c r="N74" i="97"/>
  <c r="L74" i="97"/>
  <c r="B74" i="97"/>
  <c r="Z73" i="97"/>
  <c r="X73" i="97"/>
  <c r="N73" i="97"/>
  <c r="L73" i="97"/>
  <c r="B73" i="97"/>
  <c r="Z72" i="97"/>
  <c r="X72" i="97"/>
  <c r="V72" i="97"/>
  <c r="N72" i="97"/>
  <c r="L72" i="97"/>
  <c r="B72" i="97"/>
  <c r="Z71" i="97"/>
  <c r="X71" i="97"/>
  <c r="N71" i="97"/>
  <c r="L71" i="97"/>
  <c r="B71" i="97"/>
  <c r="Z70" i="97"/>
  <c r="X70" i="97"/>
  <c r="N70" i="97"/>
  <c r="L70" i="97"/>
  <c r="B70" i="97"/>
  <c r="Z69" i="97"/>
  <c r="X69" i="97"/>
  <c r="N69" i="97"/>
  <c r="L69" i="97"/>
  <c r="B69" i="97"/>
  <c r="Z68" i="97"/>
  <c r="X68" i="97"/>
  <c r="V68" i="97"/>
  <c r="N68" i="97"/>
  <c r="L68" i="97"/>
  <c r="B68" i="97"/>
  <c r="Z67" i="97"/>
  <c r="X67" i="97"/>
  <c r="N67" i="97"/>
  <c r="L67" i="97"/>
  <c r="B67" i="97"/>
  <c r="Z66" i="97"/>
  <c r="X66" i="97"/>
  <c r="N66" i="97"/>
  <c r="L66" i="97"/>
  <c r="B66" i="97"/>
  <c r="Z65" i="97"/>
  <c r="T65" i="97"/>
  <c r="P65" i="97"/>
  <c r="X65" i="97" s="1"/>
  <c r="H65" i="97"/>
  <c r="N65" i="97" s="1"/>
  <c r="D65" i="97"/>
  <c r="B65" i="97"/>
  <c r="Z64" i="97"/>
  <c r="X64" i="97"/>
  <c r="N64" i="97"/>
  <c r="L64" i="97"/>
  <c r="B64" i="97"/>
  <c r="Z63" i="97"/>
  <c r="X63" i="97"/>
  <c r="V63" i="97"/>
  <c r="N63" i="97"/>
  <c r="L63" i="97"/>
  <c r="B63" i="97"/>
  <c r="T62" i="97"/>
  <c r="Z62" i="97" s="1"/>
  <c r="R62" i="97"/>
  <c r="P62" i="97"/>
  <c r="N62" i="97"/>
  <c r="H62" i="97"/>
  <c r="D62" i="97"/>
  <c r="L62" i="97" s="1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L59" i="97"/>
  <c r="J59" i="97"/>
  <c r="H59" i="97"/>
  <c r="N59" i="97" s="1"/>
  <c r="D59" i="97"/>
  <c r="B59" i="97"/>
  <c r="Z58" i="97"/>
  <c r="X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B56" i="97"/>
  <c r="T55" i="97"/>
  <c r="Z55" i="97" s="1"/>
  <c r="P55" i="97"/>
  <c r="N55" i="97"/>
  <c r="L55" i="97"/>
  <c r="H55" i="97"/>
  <c r="D55" i="97"/>
  <c r="B55" i="97"/>
  <c r="X54" i="97"/>
  <c r="Z54" i="97" s="1"/>
  <c r="R54" i="97"/>
  <c r="N54" i="97"/>
  <c r="L54" i="97"/>
  <c r="B54" i="97"/>
  <c r="X53" i="97"/>
  <c r="Z53" i="97" s="1"/>
  <c r="T53" i="97"/>
  <c r="P53" i="97"/>
  <c r="H53" i="97"/>
  <c r="D53" i="97"/>
  <c r="B53" i="97"/>
  <c r="Z52" i="97"/>
  <c r="X52" i="97"/>
  <c r="N52" i="97"/>
  <c r="L52" i="97"/>
  <c r="B52" i="97"/>
  <c r="V51" i="97"/>
  <c r="T51" i="97"/>
  <c r="Z51" i="97" s="1"/>
  <c r="R51" i="97"/>
  <c r="P51" i="97"/>
  <c r="X51" i="97" s="1"/>
  <c r="L51" i="97"/>
  <c r="H51" i="97"/>
  <c r="N51" i="97" s="1"/>
  <c r="D51" i="97"/>
  <c r="B51" i="97"/>
  <c r="Z50" i="97"/>
  <c r="X50" i="97"/>
  <c r="V50" i="97"/>
  <c r="N50" i="97"/>
  <c r="L50" i="97"/>
  <c r="J50" i="97"/>
  <c r="B50" i="97"/>
  <c r="Z49" i="97"/>
  <c r="T49" i="97"/>
  <c r="P49" i="97"/>
  <c r="X49" i="97" s="1"/>
  <c r="N49" i="97"/>
  <c r="H49" i="97"/>
  <c r="D49" i="97"/>
  <c r="L49" i="97" s="1"/>
  <c r="B49" i="97"/>
  <c r="Z48" i="97"/>
  <c r="X48" i="97"/>
  <c r="N48" i="97"/>
  <c r="L48" i="97"/>
  <c r="B48" i="97"/>
  <c r="Z47" i="97"/>
  <c r="X47" i="97"/>
  <c r="N47" i="97"/>
  <c r="L47" i="97"/>
  <c r="B47" i="97"/>
  <c r="T46" i="97"/>
  <c r="P46" i="97"/>
  <c r="X46" i="97" s="1"/>
  <c r="H46" i="97"/>
  <c r="D46" i="97"/>
  <c r="L46" i="97" s="1"/>
  <c r="N46" i="97" s="1"/>
  <c r="B46" i="97"/>
  <c r="Z45" i="97"/>
  <c r="X45" i="97"/>
  <c r="V45" i="97"/>
  <c r="N45" i="97"/>
  <c r="L45" i="97"/>
  <c r="B45" i="97"/>
  <c r="Z44" i="97"/>
  <c r="T44" i="97"/>
  <c r="R44" i="97"/>
  <c r="P44" i="97"/>
  <c r="X44" i="97" s="1"/>
  <c r="N44" i="97"/>
  <c r="J44" i="97"/>
  <c r="H44" i="97"/>
  <c r="D44" i="97"/>
  <c r="L44" i="97" s="1"/>
  <c r="B44" i="97"/>
  <c r="Z43" i="97"/>
  <c r="X43" i="97"/>
  <c r="R43" i="97"/>
  <c r="N43" i="97"/>
  <c r="L43" i="97"/>
  <c r="B43" i="97"/>
  <c r="T42" i="97"/>
  <c r="Z42" i="97" s="1"/>
  <c r="P42" i="97"/>
  <c r="X42" i="97" s="1"/>
  <c r="L42" i="97"/>
  <c r="J42" i="97"/>
  <c r="H42" i="97"/>
  <c r="N42" i="97" s="1"/>
  <c r="D42" i="97"/>
  <c r="B42" i="97"/>
  <c r="Z41" i="97"/>
  <c r="X41" i="97"/>
  <c r="V41" i="97"/>
  <c r="N41" i="97"/>
  <c r="L41" i="97"/>
  <c r="J41" i="97"/>
  <c r="B41" i="97"/>
  <c r="Z40" i="97"/>
  <c r="X40" i="97"/>
  <c r="V40" i="97"/>
  <c r="N40" i="97"/>
  <c r="L40" i="97"/>
  <c r="J40" i="97"/>
  <c r="B40" i="97"/>
  <c r="Z39" i="97"/>
  <c r="X39" i="97"/>
  <c r="V39" i="97"/>
  <c r="N39" i="97"/>
  <c r="L39" i="97"/>
  <c r="B39" i="97"/>
  <c r="Z38" i="97"/>
  <c r="X38" i="97"/>
  <c r="N38" i="97"/>
  <c r="L38" i="97"/>
  <c r="B38" i="97"/>
  <c r="Z37" i="97"/>
  <c r="X37" i="97"/>
  <c r="V37" i="97"/>
  <c r="N37" i="97"/>
  <c r="L37" i="97"/>
  <c r="J37" i="97"/>
  <c r="B37" i="97"/>
  <c r="Z36" i="97"/>
  <c r="X36" i="97"/>
  <c r="V36" i="97"/>
  <c r="N36" i="97"/>
  <c r="L36" i="97"/>
  <c r="J36" i="97"/>
  <c r="B36" i="97"/>
  <c r="Z35" i="97"/>
  <c r="X35" i="97"/>
  <c r="V35" i="97"/>
  <c r="N35" i="97"/>
  <c r="L35" i="97"/>
  <c r="B35" i="97"/>
  <c r="Z34" i="97"/>
  <c r="X34" i="97"/>
  <c r="V34" i="97"/>
  <c r="N34" i="97"/>
  <c r="L34" i="97"/>
  <c r="B34" i="97"/>
  <c r="Z33" i="97"/>
  <c r="X33" i="97"/>
  <c r="V33" i="97"/>
  <c r="N33" i="97"/>
  <c r="L33" i="97"/>
  <c r="J33" i="97"/>
  <c r="B33" i="97"/>
  <c r="Z32" i="97"/>
  <c r="X32" i="97"/>
  <c r="V32" i="97"/>
  <c r="N32" i="97"/>
  <c r="L32" i="97"/>
  <c r="J32" i="97"/>
  <c r="B32" i="97"/>
  <c r="Z31" i="97"/>
  <c r="X31" i="97"/>
  <c r="V31" i="97"/>
  <c r="T31" i="97"/>
  <c r="P31" i="97"/>
  <c r="J31" i="97"/>
  <c r="H31" i="97"/>
  <c r="N31" i="97" s="1"/>
  <c r="D31" i="97"/>
  <c r="L31" i="97" s="1"/>
  <c r="B31" i="97"/>
  <c r="Z30" i="97"/>
  <c r="X30" i="97"/>
  <c r="N30" i="97"/>
  <c r="L30" i="97"/>
  <c r="B30" i="97"/>
  <c r="Z29" i="97"/>
  <c r="X29" i="97"/>
  <c r="V29" i="97"/>
  <c r="N29" i="97"/>
  <c r="L29" i="97"/>
  <c r="B29" i="97"/>
  <c r="Z28" i="97"/>
  <c r="X28" i="97"/>
  <c r="V28" i="97"/>
  <c r="N28" i="97"/>
  <c r="L28" i="97"/>
  <c r="J28" i="97"/>
  <c r="B28" i="97"/>
  <c r="Z27" i="97"/>
  <c r="X27" i="97"/>
  <c r="V27" i="97"/>
  <c r="N27" i="97"/>
  <c r="L27" i="97"/>
  <c r="J27" i="97"/>
  <c r="B27" i="97"/>
  <c r="Z26" i="97"/>
  <c r="X26" i="97"/>
  <c r="N26" i="97"/>
  <c r="L26" i="97"/>
  <c r="B26" i="97"/>
  <c r="Z25" i="97"/>
  <c r="X25" i="97"/>
  <c r="V25" i="97"/>
  <c r="R25" i="97"/>
  <c r="N25" i="97"/>
  <c r="L25" i="97"/>
  <c r="B25" i="97"/>
  <c r="Z24" i="97"/>
  <c r="X24" i="97"/>
  <c r="V24" i="97"/>
  <c r="N24" i="97"/>
  <c r="L24" i="97"/>
  <c r="J24" i="97"/>
  <c r="B24" i="97"/>
  <c r="Z23" i="97"/>
  <c r="X23" i="97"/>
  <c r="V23" i="97"/>
  <c r="N23" i="97"/>
  <c r="L23" i="97"/>
  <c r="J23" i="97"/>
  <c r="B23" i="97"/>
  <c r="Z22" i="97"/>
  <c r="X22" i="97"/>
  <c r="T22" i="97"/>
  <c r="P22" i="97"/>
  <c r="J22" i="97"/>
  <c r="H22" i="97"/>
  <c r="N22" i="97" s="1"/>
  <c r="D22" i="97"/>
  <c r="L22" i="97" s="1"/>
  <c r="B22" i="97"/>
  <c r="T21" i="97"/>
  <c r="P21" i="97"/>
  <c r="X21" i="97" s="1"/>
  <c r="J21" i="97"/>
  <c r="H21" i="97"/>
  <c r="D21" i="97"/>
  <c r="L21" i="97" s="1"/>
  <c r="T19" i="97"/>
  <c r="T85" i="97" s="1"/>
  <c r="J19" i="97"/>
  <c r="H19" i="97"/>
  <c r="H85" i="97" s="1"/>
  <c r="D19" i="97"/>
  <c r="Z17" i="97"/>
  <c r="X17" i="97"/>
  <c r="N17" i="97"/>
  <c r="L17" i="97"/>
  <c r="J17" i="97"/>
  <c r="B17" i="97"/>
  <c r="X16" i="97"/>
  <c r="V16" i="97"/>
  <c r="T16" i="97"/>
  <c r="Z16" i="97" s="1"/>
  <c r="P16" i="97"/>
  <c r="N16" i="97"/>
  <c r="H16" i="97"/>
  <c r="D16" i="97"/>
  <c r="L16" i="97" s="1"/>
  <c r="Z14" i="97"/>
  <c r="P14" i="97"/>
  <c r="X14" i="97" s="1"/>
  <c r="N14" i="97"/>
  <c r="L14" i="97"/>
  <c r="D14" i="97"/>
  <c r="B14" i="97"/>
  <c r="Z13" i="97"/>
  <c r="P13" i="97"/>
  <c r="P12" i="97" s="1"/>
  <c r="N13" i="97"/>
  <c r="D13" i="97"/>
  <c r="D12" i="97" s="1"/>
  <c r="B13" i="97"/>
  <c r="Z12" i="97"/>
  <c r="T12" i="97"/>
  <c r="V70" i="97" s="1"/>
  <c r="N12" i="97"/>
  <c r="H12" i="97"/>
  <c r="J75" i="97" s="1"/>
  <c r="D6" i="97"/>
  <c r="D4" i="97"/>
  <c r="Z101" i="95"/>
  <c r="X101" i="95"/>
  <c r="L101" i="95"/>
  <c r="N101" i="95" s="1"/>
  <c r="Z97" i="95"/>
  <c r="X97" i="95"/>
  <c r="T97" i="95"/>
  <c r="P97" i="95"/>
  <c r="H97" i="95"/>
  <c r="N97" i="95" s="1"/>
  <c r="D97" i="95"/>
  <c r="L97" i="95" s="1"/>
  <c r="Z95" i="95"/>
  <c r="X95" i="95"/>
  <c r="N95" i="95"/>
  <c r="L95" i="95"/>
  <c r="B95" i="95"/>
  <c r="T94" i="95"/>
  <c r="P94" i="95"/>
  <c r="L94" i="95"/>
  <c r="H94" i="95"/>
  <c r="D94" i="95"/>
  <c r="B94" i="95"/>
  <c r="Z93" i="95"/>
  <c r="X93" i="95"/>
  <c r="V93" i="95"/>
  <c r="N93" i="95"/>
  <c r="L93" i="95"/>
  <c r="B93" i="95"/>
  <c r="Z92" i="95"/>
  <c r="X92" i="95"/>
  <c r="N92" i="95"/>
  <c r="L92" i="95"/>
  <c r="B92" i="95"/>
  <c r="Z91" i="95"/>
  <c r="T91" i="95"/>
  <c r="P91" i="95"/>
  <c r="X91" i="95" s="1"/>
  <c r="L91" i="95"/>
  <c r="H91" i="95"/>
  <c r="N91" i="95" s="1"/>
  <c r="D91" i="95"/>
  <c r="B91" i="95"/>
  <c r="Z90" i="95"/>
  <c r="X90" i="95"/>
  <c r="N90" i="95"/>
  <c r="L90" i="95"/>
  <c r="B90" i="95"/>
  <c r="V89" i="95"/>
  <c r="T89" i="95"/>
  <c r="Z89" i="95" s="1"/>
  <c r="P89" i="95"/>
  <c r="X89" i="95" s="1"/>
  <c r="H89" i="95"/>
  <c r="N89" i="95" s="1"/>
  <c r="D89" i="95"/>
  <c r="B89" i="95"/>
  <c r="X88" i="95"/>
  <c r="Z88" i="95" s="1"/>
  <c r="N88" i="95"/>
  <c r="L88" i="95"/>
  <c r="B88" i="95"/>
  <c r="Z87" i="95"/>
  <c r="X87" i="95"/>
  <c r="N87" i="95"/>
  <c r="L87" i="95"/>
  <c r="B87" i="95"/>
  <c r="T86" i="95"/>
  <c r="P86" i="95"/>
  <c r="L86" i="95"/>
  <c r="H86" i="95"/>
  <c r="N86" i="95" s="1"/>
  <c r="D86" i="95"/>
  <c r="B86" i="95"/>
  <c r="X85" i="95"/>
  <c r="Z85" i="95" s="1"/>
  <c r="V85" i="95"/>
  <c r="N85" i="95"/>
  <c r="L85" i="95"/>
  <c r="B85" i="95"/>
  <c r="X84" i="95"/>
  <c r="Z84" i="95" s="1"/>
  <c r="N84" i="95"/>
  <c r="L84" i="95"/>
  <c r="B84" i="95"/>
  <c r="Z83" i="95"/>
  <c r="X83" i="95"/>
  <c r="L83" i="95"/>
  <c r="N83" i="95" s="1"/>
  <c r="B83" i="95"/>
  <c r="Z82" i="95"/>
  <c r="X82" i="95"/>
  <c r="N82" i="95"/>
  <c r="L82" i="95"/>
  <c r="B82" i="95"/>
  <c r="X81" i="95"/>
  <c r="Z81" i="95" s="1"/>
  <c r="L81" i="95"/>
  <c r="N81" i="95" s="1"/>
  <c r="J81" i="95"/>
  <c r="B81" i="95"/>
  <c r="X80" i="95"/>
  <c r="Z80" i="95" s="1"/>
  <c r="L80" i="95"/>
  <c r="N80" i="95" s="1"/>
  <c r="B80" i="95"/>
  <c r="Z79" i="95"/>
  <c r="X79" i="95"/>
  <c r="N79" i="95"/>
  <c r="L79" i="95"/>
  <c r="B79" i="95"/>
  <c r="Z78" i="95"/>
  <c r="X78" i="95"/>
  <c r="N78" i="95"/>
  <c r="L78" i="95"/>
  <c r="B78" i="95"/>
  <c r="X77" i="95"/>
  <c r="T77" i="95"/>
  <c r="Z77" i="95" s="1"/>
  <c r="P77" i="95"/>
  <c r="H77" i="95"/>
  <c r="D77" i="95"/>
  <c r="L77" i="95" s="1"/>
  <c r="N77" i="95" s="1"/>
  <c r="B77" i="95"/>
  <c r="Z76" i="95"/>
  <c r="X76" i="95"/>
  <c r="L76" i="95"/>
  <c r="N76" i="95" s="1"/>
  <c r="B76" i="95"/>
  <c r="T75" i="95"/>
  <c r="P75" i="95"/>
  <c r="X75" i="95" s="1"/>
  <c r="H75" i="95"/>
  <c r="N75" i="95" s="1"/>
  <c r="D75" i="95"/>
  <c r="L75" i="95" s="1"/>
  <c r="B75" i="95"/>
  <c r="Z74" i="95"/>
  <c r="X74" i="95"/>
  <c r="N74" i="95"/>
  <c r="L74" i="95"/>
  <c r="B74" i="95"/>
  <c r="X73" i="95"/>
  <c r="Z73" i="95" s="1"/>
  <c r="L73" i="95"/>
  <c r="N73" i="95" s="1"/>
  <c r="B73" i="95"/>
  <c r="X72" i="95"/>
  <c r="Z72" i="95" s="1"/>
  <c r="L72" i="95"/>
  <c r="N72" i="95" s="1"/>
  <c r="B72" i="95"/>
  <c r="Z71" i="95"/>
  <c r="X71" i="95"/>
  <c r="N71" i="95"/>
  <c r="L71" i="95"/>
  <c r="B71" i="95"/>
  <c r="Z70" i="95"/>
  <c r="X70" i="95"/>
  <c r="R70" i="95"/>
  <c r="N70" i="95"/>
  <c r="L70" i="95"/>
  <c r="B70" i="95"/>
  <c r="T69" i="95"/>
  <c r="Z69" i="95" s="1"/>
  <c r="P69" i="95"/>
  <c r="X69" i="95" s="1"/>
  <c r="N69" i="95"/>
  <c r="L69" i="95"/>
  <c r="H69" i="95"/>
  <c r="D69" i="95"/>
  <c r="B69" i="95"/>
  <c r="X68" i="95"/>
  <c r="Z68" i="95" s="1"/>
  <c r="N68" i="95"/>
  <c r="L68" i="95"/>
  <c r="B68" i="95"/>
  <c r="Z67" i="95"/>
  <c r="X67" i="95"/>
  <c r="N67" i="95"/>
  <c r="L67" i="95"/>
  <c r="B67" i="95"/>
  <c r="T66" i="95"/>
  <c r="P66" i="95"/>
  <c r="X66" i="95" s="1"/>
  <c r="H66" i="95"/>
  <c r="D66" i="95"/>
  <c r="L66" i="95" s="1"/>
  <c r="N66" i="95" s="1"/>
  <c r="B66" i="95"/>
  <c r="X65" i="95"/>
  <c r="Z65" i="95" s="1"/>
  <c r="L65" i="95"/>
  <c r="N65" i="95" s="1"/>
  <c r="B65" i="95"/>
  <c r="T64" i="95"/>
  <c r="P64" i="95"/>
  <c r="X64" i="95" s="1"/>
  <c r="Z64" i="95" s="1"/>
  <c r="H64" i="95"/>
  <c r="N64" i="95" s="1"/>
  <c r="D64" i="95"/>
  <c r="L64" i="95" s="1"/>
  <c r="B64" i="95"/>
  <c r="Z63" i="95"/>
  <c r="X63" i="95"/>
  <c r="N63" i="95"/>
  <c r="L63" i="95"/>
  <c r="B63" i="95"/>
  <c r="T62" i="95"/>
  <c r="P62" i="95"/>
  <c r="L62" i="95"/>
  <c r="H62" i="95"/>
  <c r="D62" i="95"/>
  <c r="B62" i="95"/>
  <c r="X61" i="95"/>
  <c r="Z61" i="95" s="1"/>
  <c r="N61" i="95"/>
  <c r="L61" i="95"/>
  <c r="B61" i="95"/>
  <c r="T60" i="95"/>
  <c r="P60" i="95"/>
  <c r="X60" i="95" s="1"/>
  <c r="Z60" i="95" s="1"/>
  <c r="H60" i="95"/>
  <c r="N60" i="95" s="1"/>
  <c r="D60" i="95"/>
  <c r="B60" i="95"/>
  <c r="X59" i="95"/>
  <c r="Z59" i="95" s="1"/>
  <c r="N59" i="95"/>
  <c r="L59" i="95"/>
  <c r="B59" i="95"/>
  <c r="T58" i="95"/>
  <c r="Z58" i="95" s="1"/>
  <c r="P58" i="95"/>
  <c r="X58" i="95" s="1"/>
  <c r="L58" i="95"/>
  <c r="N58" i="95" s="1"/>
  <c r="H58" i="95"/>
  <c r="D58" i="95"/>
  <c r="B58" i="95"/>
  <c r="X57" i="95"/>
  <c r="Z57" i="95" s="1"/>
  <c r="N57" i="95"/>
  <c r="L57" i="95"/>
  <c r="B57" i="95"/>
  <c r="X56" i="95"/>
  <c r="T56" i="95"/>
  <c r="P56" i="95"/>
  <c r="H56" i="95"/>
  <c r="D56" i="95"/>
  <c r="B56" i="95"/>
  <c r="Z55" i="95"/>
  <c r="X55" i="95"/>
  <c r="N55" i="95"/>
  <c r="L55" i="95"/>
  <c r="B55" i="95"/>
  <c r="Z54" i="95"/>
  <c r="X54" i="95"/>
  <c r="R54" i="95"/>
  <c r="N54" i="95"/>
  <c r="L54" i="95"/>
  <c r="B54" i="95"/>
  <c r="X53" i="95"/>
  <c r="T53" i="95"/>
  <c r="P53" i="95"/>
  <c r="H53" i="95"/>
  <c r="D53" i="95"/>
  <c r="L53" i="95" s="1"/>
  <c r="N53" i="95" s="1"/>
  <c r="B53" i="95"/>
  <c r="Z52" i="95"/>
  <c r="X52" i="95"/>
  <c r="L52" i="95"/>
  <c r="N52" i="95" s="1"/>
  <c r="B52" i="95"/>
  <c r="T51" i="95"/>
  <c r="P51" i="95"/>
  <c r="H51" i="95"/>
  <c r="D51" i="95"/>
  <c r="L51" i="95" s="1"/>
  <c r="B51" i="95"/>
  <c r="Z50" i="95"/>
  <c r="X50" i="95"/>
  <c r="V50" i="95"/>
  <c r="N50" i="95"/>
  <c r="L50" i="95"/>
  <c r="B50" i="95"/>
  <c r="T49" i="95"/>
  <c r="P49" i="95"/>
  <c r="X49" i="95" s="1"/>
  <c r="N49" i="95"/>
  <c r="L49" i="95"/>
  <c r="H49" i="95"/>
  <c r="D49" i="95"/>
  <c r="B49" i="95"/>
  <c r="Z48" i="95"/>
  <c r="X48" i="95"/>
  <c r="N48" i="95"/>
  <c r="L48" i="95"/>
  <c r="B48" i="95"/>
  <c r="Z47" i="95"/>
  <c r="T47" i="95"/>
  <c r="P47" i="95"/>
  <c r="X47" i="95" s="1"/>
  <c r="L47" i="95"/>
  <c r="J47" i="95"/>
  <c r="H47" i="95"/>
  <c r="N47" i="95" s="1"/>
  <c r="D47" i="95"/>
  <c r="B47" i="95"/>
  <c r="Z46" i="95"/>
  <c r="X46" i="95"/>
  <c r="N46" i="95"/>
  <c r="L46" i="95"/>
  <c r="J46" i="95"/>
  <c r="B46" i="95"/>
  <c r="Z45" i="95"/>
  <c r="X45" i="95"/>
  <c r="V45" i="95"/>
  <c r="N45" i="95"/>
  <c r="L45" i="95"/>
  <c r="B45" i="95"/>
  <c r="Z44" i="95"/>
  <c r="X44" i="95"/>
  <c r="L44" i="95"/>
  <c r="N44" i="95" s="1"/>
  <c r="B44" i="95"/>
  <c r="X43" i="95"/>
  <c r="Z43" i="95" s="1"/>
  <c r="N43" i="95"/>
  <c r="L43" i="95"/>
  <c r="B43" i="95"/>
  <c r="Z42" i="95"/>
  <c r="X42" i="95"/>
  <c r="N42" i="95"/>
  <c r="L42" i="95"/>
  <c r="B42" i="95"/>
  <c r="X41" i="95"/>
  <c r="Z41" i="95" s="1"/>
  <c r="L41" i="95"/>
  <c r="N41" i="95" s="1"/>
  <c r="B41" i="95"/>
  <c r="Z40" i="95"/>
  <c r="X40" i="95"/>
  <c r="L40" i="95"/>
  <c r="N40" i="95" s="1"/>
  <c r="B40" i="95"/>
  <c r="Z39" i="95"/>
  <c r="X39" i="95"/>
  <c r="N39" i="95"/>
  <c r="L39" i="95"/>
  <c r="B39" i="95"/>
  <c r="Z38" i="95"/>
  <c r="X38" i="95"/>
  <c r="N38" i="95"/>
  <c r="L38" i="95"/>
  <c r="B38" i="95"/>
  <c r="Z37" i="95"/>
  <c r="X37" i="95"/>
  <c r="N37" i="95"/>
  <c r="L37" i="95"/>
  <c r="B37" i="95"/>
  <c r="X36" i="95"/>
  <c r="Z36" i="95" s="1"/>
  <c r="T36" i="95"/>
  <c r="P36" i="95"/>
  <c r="H36" i="95"/>
  <c r="D36" i="95"/>
  <c r="L36" i="95" s="1"/>
  <c r="B36" i="95"/>
  <c r="Z35" i="95"/>
  <c r="X35" i="95"/>
  <c r="N35" i="95"/>
  <c r="L35" i="95"/>
  <c r="B35" i="95"/>
  <c r="Z34" i="95"/>
  <c r="X34" i="95"/>
  <c r="N34" i="95"/>
  <c r="L34" i="95"/>
  <c r="B34" i="95"/>
  <c r="X33" i="95"/>
  <c r="Z33" i="95" s="1"/>
  <c r="L33" i="95"/>
  <c r="N33" i="95" s="1"/>
  <c r="J33" i="95"/>
  <c r="B33" i="95"/>
  <c r="Z32" i="95"/>
  <c r="X32" i="95"/>
  <c r="N32" i="95"/>
  <c r="L32" i="95"/>
  <c r="B32" i="95"/>
  <c r="Z31" i="95"/>
  <c r="X31" i="95"/>
  <c r="N31" i="95"/>
  <c r="L31" i="95"/>
  <c r="B31" i="95"/>
  <c r="Z30" i="95"/>
  <c r="X30" i="95"/>
  <c r="V30" i="95"/>
  <c r="R30" i="95"/>
  <c r="N30" i="95"/>
  <c r="L30" i="95"/>
  <c r="B30" i="95"/>
  <c r="X29" i="95"/>
  <c r="Z29" i="95" s="1"/>
  <c r="L29" i="95"/>
  <c r="N29" i="95" s="1"/>
  <c r="J29" i="95"/>
  <c r="B29" i="95"/>
  <c r="X28" i="95"/>
  <c r="Z28" i="95" s="1"/>
  <c r="N28" i="95"/>
  <c r="L28" i="95"/>
  <c r="B28" i="95"/>
  <c r="Z27" i="95"/>
  <c r="X27" i="95"/>
  <c r="N27" i="95"/>
  <c r="L27" i="95"/>
  <c r="B27" i="95"/>
  <c r="T26" i="95"/>
  <c r="P26" i="95"/>
  <c r="L26" i="95"/>
  <c r="H26" i="95"/>
  <c r="D26" i="95"/>
  <c r="B26" i="95"/>
  <c r="X25" i="95"/>
  <c r="T25" i="95"/>
  <c r="P25" i="95"/>
  <c r="H25" i="95"/>
  <c r="D25" i="95"/>
  <c r="L25" i="95" s="1"/>
  <c r="N25" i="95" s="1"/>
  <c r="H23" i="95"/>
  <c r="H99" i="95" s="1"/>
  <c r="Z21" i="95"/>
  <c r="X21" i="95"/>
  <c r="N21" i="95"/>
  <c r="L21" i="95"/>
  <c r="J21" i="95"/>
  <c r="B21" i="95"/>
  <c r="Z20" i="95"/>
  <c r="X20" i="95"/>
  <c r="V20" i="95"/>
  <c r="N20" i="95"/>
  <c r="L20" i="95"/>
  <c r="J20" i="95"/>
  <c r="B20" i="95"/>
  <c r="Z19" i="95"/>
  <c r="X19" i="95"/>
  <c r="L19" i="95"/>
  <c r="N19" i="95" s="1"/>
  <c r="B19" i="95"/>
  <c r="T18" i="95"/>
  <c r="P18" i="95"/>
  <c r="N18" i="95"/>
  <c r="J18" i="95"/>
  <c r="H18" i="95"/>
  <c r="D18" i="95"/>
  <c r="L18" i="95" s="1"/>
  <c r="Z16" i="95"/>
  <c r="P16" i="95"/>
  <c r="X16" i="95" s="1"/>
  <c r="N16" i="95"/>
  <c r="L16" i="95"/>
  <c r="D16" i="95"/>
  <c r="B16" i="95"/>
  <c r="X15" i="95"/>
  <c r="Z15" i="95" s="1"/>
  <c r="P15" i="95"/>
  <c r="N15" i="95"/>
  <c r="L15" i="95"/>
  <c r="D15" i="95"/>
  <c r="B15" i="95"/>
  <c r="Z14" i="95"/>
  <c r="X14" i="95"/>
  <c r="P14" i="95"/>
  <c r="N14" i="95"/>
  <c r="L14" i="95"/>
  <c r="D14" i="95"/>
  <c r="B14" i="95"/>
  <c r="P13" i="95"/>
  <c r="X13" i="95" s="1"/>
  <c r="Z13" i="95" s="1"/>
  <c r="N13" i="95"/>
  <c r="D13" i="95"/>
  <c r="L13" i="95" s="1"/>
  <c r="B13" i="95"/>
  <c r="T12" i="95"/>
  <c r="V62" i="95" s="1"/>
  <c r="P12" i="95"/>
  <c r="R43" i="95" s="1"/>
  <c r="H12" i="95"/>
  <c r="J91" i="95" s="1"/>
  <c r="D12" i="95"/>
  <c r="D6" i="95"/>
  <c r="D4" i="95"/>
  <c r="Z81" i="94"/>
  <c r="X81" i="94"/>
  <c r="N81" i="94"/>
  <c r="L81" i="94"/>
  <c r="Z77" i="94"/>
  <c r="T77" i="94"/>
  <c r="P77" i="94"/>
  <c r="X77" i="94" s="1"/>
  <c r="H77" i="94"/>
  <c r="N77" i="94" s="1"/>
  <c r="D77" i="94"/>
  <c r="L77" i="94" s="1"/>
  <c r="Z75" i="94"/>
  <c r="X75" i="94"/>
  <c r="N75" i="94"/>
  <c r="L75" i="94"/>
  <c r="B75" i="94"/>
  <c r="Z74" i="94"/>
  <c r="X74" i="94"/>
  <c r="T74" i="94"/>
  <c r="P74" i="94"/>
  <c r="N74" i="94"/>
  <c r="H74" i="94"/>
  <c r="D74" i="94"/>
  <c r="L74" i="94" s="1"/>
  <c r="B74" i="94"/>
  <c r="Z73" i="94"/>
  <c r="X73" i="94"/>
  <c r="V73" i="94"/>
  <c r="N73" i="94"/>
  <c r="L73" i="94"/>
  <c r="B73" i="94"/>
  <c r="T72" i="94"/>
  <c r="Z72" i="94" s="1"/>
  <c r="P72" i="94"/>
  <c r="N72" i="94"/>
  <c r="L72" i="94"/>
  <c r="H72" i="94"/>
  <c r="D72" i="94"/>
  <c r="B72" i="94"/>
  <c r="Z71" i="94"/>
  <c r="X71" i="94"/>
  <c r="N71" i="94"/>
  <c r="L71" i="94"/>
  <c r="J71" i="94"/>
  <c r="B71" i="94"/>
  <c r="Z70" i="94"/>
  <c r="T70" i="94"/>
  <c r="P70" i="94"/>
  <c r="X70" i="94" s="1"/>
  <c r="H70" i="94"/>
  <c r="D70" i="94"/>
  <c r="B70" i="94"/>
  <c r="Z69" i="94"/>
  <c r="X69" i="94"/>
  <c r="N69" i="94"/>
  <c r="L69" i="94"/>
  <c r="B69" i="94"/>
  <c r="Z68" i="94"/>
  <c r="X68" i="94"/>
  <c r="N68" i="94"/>
  <c r="L68" i="94"/>
  <c r="B68" i="94"/>
  <c r="Z67" i="94"/>
  <c r="X67" i="94"/>
  <c r="V67" i="94"/>
  <c r="N67" i="94"/>
  <c r="L67" i="94"/>
  <c r="B67" i="94"/>
  <c r="Z66" i="94"/>
  <c r="T66" i="94"/>
  <c r="P66" i="94"/>
  <c r="X66" i="94" s="1"/>
  <c r="N66" i="94"/>
  <c r="H66" i="94"/>
  <c r="D66" i="94"/>
  <c r="L66" i="94" s="1"/>
  <c r="B66" i="94"/>
  <c r="Z65" i="94"/>
  <c r="X65" i="94"/>
  <c r="R65" i="94"/>
  <c r="N65" i="94"/>
  <c r="L65" i="94"/>
  <c r="B65" i="94"/>
  <c r="T64" i="94"/>
  <c r="Z64" i="94" s="1"/>
  <c r="P64" i="94"/>
  <c r="X64" i="94" s="1"/>
  <c r="N64" i="94"/>
  <c r="L64" i="94"/>
  <c r="H64" i="94"/>
  <c r="D64" i="94"/>
  <c r="B64" i="94"/>
  <c r="Z63" i="94"/>
  <c r="X63" i="94"/>
  <c r="N63" i="94"/>
  <c r="L63" i="94"/>
  <c r="B63" i="94"/>
  <c r="Z62" i="94"/>
  <c r="T62" i="94"/>
  <c r="P62" i="94"/>
  <c r="X62" i="94" s="1"/>
  <c r="H62" i="94"/>
  <c r="D62" i="94"/>
  <c r="B62" i="94"/>
  <c r="Z61" i="94"/>
  <c r="X61" i="94"/>
  <c r="N61" i="94"/>
  <c r="L61" i="94"/>
  <c r="B61" i="94"/>
  <c r="Z60" i="94"/>
  <c r="T60" i="94"/>
  <c r="P60" i="94"/>
  <c r="X60" i="94" s="1"/>
  <c r="N60" i="94"/>
  <c r="H60" i="94"/>
  <c r="F60" i="94"/>
  <c r="D60" i="94"/>
  <c r="L60" i="94" s="1"/>
  <c r="B60" i="94"/>
  <c r="Z59" i="94"/>
  <c r="X59" i="94"/>
  <c r="N59" i="94"/>
  <c r="L59" i="94"/>
  <c r="B59" i="94"/>
  <c r="Z58" i="94"/>
  <c r="X58" i="94"/>
  <c r="N58" i="94"/>
  <c r="L58" i="94"/>
  <c r="B58" i="94"/>
  <c r="T57" i="94"/>
  <c r="Z57" i="94" s="1"/>
  <c r="R57" i="94"/>
  <c r="P57" i="94"/>
  <c r="N57" i="94"/>
  <c r="H57" i="94"/>
  <c r="D57" i="94"/>
  <c r="L57" i="94" s="1"/>
  <c r="B57" i="94"/>
  <c r="Z56" i="94"/>
  <c r="X56" i="94"/>
  <c r="V56" i="94"/>
  <c r="R56" i="94"/>
  <c r="N56" i="94"/>
  <c r="L56" i="94"/>
  <c r="B56" i="94"/>
  <c r="T55" i="94"/>
  <c r="Z55" i="94" s="1"/>
  <c r="P55" i="94"/>
  <c r="X55" i="94" s="1"/>
  <c r="N55" i="94"/>
  <c r="L55" i="94"/>
  <c r="H55" i="94"/>
  <c r="D55" i="94"/>
  <c r="B55" i="94"/>
  <c r="Z54" i="94"/>
  <c r="X54" i="94"/>
  <c r="N54" i="94"/>
  <c r="L54" i="94"/>
  <c r="B54" i="94"/>
  <c r="T53" i="94"/>
  <c r="Z53" i="94" s="1"/>
  <c r="P53" i="94"/>
  <c r="X53" i="94" s="1"/>
  <c r="L53" i="94"/>
  <c r="J53" i="94"/>
  <c r="H53" i="94"/>
  <c r="N53" i="94" s="1"/>
  <c r="D53" i="94"/>
  <c r="B53" i="94"/>
  <c r="Z52" i="94"/>
  <c r="X52" i="94"/>
  <c r="N52" i="94"/>
  <c r="L52" i="94"/>
  <c r="B52" i="94"/>
  <c r="T51" i="94"/>
  <c r="Z51" i="94" s="1"/>
  <c r="P51" i="94"/>
  <c r="X51" i="94" s="1"/>
  <c r="H51" i="94"/>
  <c r="N51" i="94" s="1"/>
  <c r="D51" i="94"/>
  <c r="L51" i="94" s="1"/>
  <c r="B51" i="94"/>
  <c r="Z50" i="94"/>
  <c r="X50" i="94"/>
  <c r="L50" i="94"/>
  <c r="N50" i="94" s="1"/>
  <c r="B50" i="94"/>
  <c r="Z49" i="94"/>
  <c r="X49" i="94"/>
  <c r="T49" i="94"/>
  <c r="P49" i="94"/>
  <c r="H49" i="94"/>
  <c r="D49" i="94"/>
  <c r="L49" i="94" s="1"/>
  <c r="B49" i="94"/>
  <c r="Z48" i="94"/>
  <c r="X48" i="94"/>
  <c r="N48" i="94"/>
  <c r="L48" i="94"/>
  <c r="B48" i="94"/>
  <c r="X47" i="94"/>
  <c r="V47" i="94"/>
  <c r="T47" i="94"/>
  <c r="Z47" i="94" s="1"/>
  <c r="P47" i="94"/>
  <c r="H47" i="94"/>
  <c r="N47" i="94" s="1"/>
  <c r="D47" i="94"/>
  <c r="L47" i="94" s="1"/>
  <c r="B47" i="94"/>
  <c r="Z46" i="94"/>
  <c r="X46" i="94"/>
  <c r="N46" i="94"/>
  <c r="L46" i="94"/>
  <c r="B46" i="94"/>
  <c r="T45" i="94"/>
  <c r="Z45" i="94" s="1"/>
  <c r="P45" i="94"/>
  <c r="X45" i="94" s="1"/>
  <c r="H45" i="94"/>
  <c r="N45" i="94" s="1"/>
  <c r="D45" i="94"/>
  <c r="L45" i="94" s="1"/>
  <c r="B45" i="94"/>
  <c r="Z44" i="94"/>
  <c r="X44" i="94"/>
  <c r="V44" i="94"/>
  <c r="R44" i="94"/>
  <c r="N44" i="94"/>
  <c r="L44" i="94"/>
  <c r="B44" i="94"/>
  <c r="Z43" i="94"/>
  <c r="X43" i="94"/>
  <c r="N43" i="94"/>
  <c r="L43" i="94"/>
  <c r="B43" i="94"/>
  <c r="Z42" i="94"/>
  <c r="X42" i="94"/>
  <c r="N42" i="94"/>
  <c r="L42" i="94"/>
  <c r="B42" i="94"/>
  <c r="Z41" i="94"/>
  <c r="X41" i="94"/>
  <c r="N41" i="94"/>
  <c r="L41" i="94"/>
  <c r="B41" i="94"/>
  <c r="Z40" i="94"/>
  <c r="X40" i="94"/>
  <c r="V40" i="94"/>
  <c r="R40" i="94"/>
  <c r="N40" i="94"/>
  <c r="L40" i="94"/>
  <c r="B40" i="94"/>
  <c r="Z39" i="94"/>
  <c r="X39" i="94"/>
  <c r="N39" i="94"/>
  <c r="L39" i="94"/>
  <c r="B39" i="94"/>
  <c r="Z38" i="94"/>
  <c r="X38" i="94"/>
  <c r="N38" i="94"/>
  <c r="L38" i="94"/>
  <c r="B38" i="94"/>
  <c r="Z37" i="94"/>
  <c r="X37" i="94"/>
  <c r="N37" i="94"/>
  <c r="L37" i="94"/>
  <c r="B37" i="94"/>
  <c r="Z36" i="94"/>
  <c r="X36" i="94"/>
  <c r="V36" i="94"/>
  <c r="N36" i="94"/>
  <c r="L36" i="94"/>
  <c r="B36" i="94"/>
  <c r="Z35" i="94"/>
  <c r="X35" i="94"/>
  <c r="N35" i="94"/>
  <c r="L35" i="94"/>
  <c r="J35" i="94"/>
  <c r="B35" i="94"/>
  <c r="Z34" i="94"/>
  <c r="T34" i="94"/>
  <c r="P34" i="94"/>
  <c r="X34" i="94" s="1"/>
  <c r="J34" i="94"/>
  <c r="H34" i="94"/>
  <c r="D34" i="94"/>
  <c r="B34" i="94"/>
  <c r="Z33" i="94"/>
  <c r="X33" i="94"/>
  <c r="N33" i="94"/>
  <c r="L33" i="94"/>
  <c r="B33" i="94"/>
  <c r="Z32" i="94"/>
  <c r="X32" i="94"/>
  <c r="N32" i="94"/>
  <c r="L32" i="94"/>
  <c r="B32" i="94"/>
  <c r="Z31" i="94"/>
  <c r="X31" i="94"/>
  <c r="V31" i="94"/>
  <c r="N31" i="94"/>
  <c r="L31" i="94"/>
  <c r="B31" i="94"/>
  <c r="Z30" i="94"/>
  <c r="X30" i="94"/>
  <c r="N30" i="94"/>
  <c r="L30" i="94"/>
  <c r="B30" i="94"/>
  <c r="Z29" i="94"/>
  <c r="X29" i="94"/>
  <c r="N29" i="94"/>
  <c r="L29" i="94"/>
  <c r="B29" i="94"/>
  <c r="Z28" i="94"/>
  <c r="X28" i="94"/>
  <c r="N28" i="94"/>
  <c r="L28" i="94"/>
  <c r="B28" i="94"/>
  <c r="Z27" i="94"/>
  <c r="X27" i="94"/>
  <c r="V27" i="94"/>
  <c r="N27" i="94"/>
  <c r="L27" i="94"/>
  <c r="B27" i="94"/>
  <c r="Z26" i="94"/>
  <c r="X26" i="94"/>
  <c r="N26" i="94"/>
  <c r="L26" i="94"/>
  <c r="B26" i="94"/>
  <c r="Z25" i="94"/>
  <c r="X25" i="94"/>
  <c r="N25" i="94"/>
  <c r="L25" i="94"/>
  <c r="B25" i="94"/>
  <c r="Z24" i="94"/>
  <c r="T24" i="94"/>
  <c r="P24" i="94"/>
  <c r="X24" i="94" s="1"/>
  <c r="N24" i="94"/>
  <c r="H24" i="94"/>
  <c r="D24" i="94"/>
  <c r="L24" i="94" s="1"/>
  <c r="B24" i="94"/>
  <c r="T23" i="94"/>
  <c r="Z23" i="94" s="1"/>
  <c r="P23" i="94"/>
  <c r="X23" i="94" s="1"/>
  <c r="H23" i="94"/>
  <c r="D23" i="94"/>
  <c r="H21" i="94"/>
  <c r="Z19" i="94"/>
  <c r="X19" i="94"/>
  <c r="N19" i="94"/>
  <c r="L19" i="94"/>
  <c r="B19" i="94"/>
  <c r="Z18" i="94"/>
  <c r="X18" i="94"/>
  <c r="V18" i="94"/>
  <c r="N18" i="94"/>
  <c r="L18" i="94"/>
  <c r="B18" i="94"/>
  <c r="T17" i="94"/>
  <c r="Z17" i="94" s="1"/>
  <c r="R17" i="94"/>
  <c r="P17" i="94"/>
  <c r="X17" i="94" s="1"/>
  <c r="H17" i="94"/>
  <c r="N17" i="94" s="1"/>
  <c r="D17" i="94"/>
  <c r="L17" i="94" s="1"/>
  <c r="Z15" i="94"/>
  <c r="X15" i="94"/>
  <c r="P15" i="94"/>
  <c r="N15" i="94"/>
  <c r="L15" i="94"/>
  <c r="D15" i="94"/>
  <c r="B15" i="94"/>
  <c r="Z14" i="94"/>
  <c r="X14" i="94"/>
  <c r="P14" i="94"/>
  <c r="N14" i="94"/>
  <c r="L14" i="94"/>
  <c r="D14" i="94"/>
  <c r="B14" i="94"/>
  <c r="Z13" i="94"/>
  <c r="X13" i="94"/>
  <c r="P13" i="94"/>
  <c r="P12" i="94" s="1"/>
  <c r="R66" i="94" s="1"/>
  <c r="N13" i="94"/>
  <c r="D13" i="94"/>
  <c r="L13" i="94" s="1"/>
  <c r="B13" i="94"/>
  <c r="T12" i="94"/>
  <c r="V72" i="94" s="1"/>
  <c r="H12" i="94"/>
  <c r="J52" i="94" s="1"/>
  <c r="D12" i="94"/>
  <c r="F69" i="94" s="1"/>
  <c r="D6" i="94"/>
  <c r="D4" i="94"/>
  <c r="J87" i="93"/>
  <c r="Z82" i="93"/>
  <c r="X82" i="93"/>
  <c r="N82" i="93"/>
  <c r="L82" i="93"/>
  <c r="Z78" i="93"/>
  <c r="X78" i="93"/>
  <c r="T78" i="93"/>
  <c r="P78" i="93"/>
  <c r="H78" i="93"/>
  <c r="N78" i="93" s="1"/>
  <c r="D78" i="93"/>
  <c r="Z76" i="93"/>
  <c r="X76" i="93"/>
  <c r="N76" i="93"/>
  <c r="L76" i="93"/>
  <c r="B76" i="93"/>
  <c r="T75" i="93"/>
  <c r="Z75" i="93" s="1"/>
  <c r="P75" i="93"/>
  <c r="X75" i="93" s="1"/>
  <c r="H75" i="93"/>
  <c r="N75" i="93" s="1"/>
  <c r="D75" i="93"/>
  <c r="L75" i="93" s="1"/>
  <c r="B75" i="93"/>
  <c r="Z74" i="93"/>
  <c r="X74" i="93"/>
  <c r="V74" i="93"/>
  <c r="N74" i="93"/>
  <c r="L74" i="93"/>
  <c r="B74" i="93"/>
  <c r="Z73" i="93"/>
  <c r="X73" i="93"/>
  <c r="N73" i="93"/>
  <c r="L73" i="93"/>
  <c r="B73" i="93"/>
  <c r="Z72" i="93"/>
  <c r="T72" i="93"/>
  <c r="P72" i="93"/>
  <c r="X72" i="93" s="1"/>
  <c r="H72" i="93"/>
  <c r="N72" i="93" s="1"/>
  <c r="D72" i="93"/>
  <c r="B72" i="93"/>
  <c r="Z71" i="93"/>
  <c r="X71" i="93"/>
  <c r="N71" i="93"/>
  <c r="L71" i="93"/>
  <c r="B71" i="93"/>
  <c r="Z70" i="93"/>
  <c r="X70" i="93"/>
  <c r="N70" i="93"/>
  <c r="L70" i="93"/>
  <c r="B70" i="93"/>
  <c r="Z69" i="93"/>
  <c r="X69" i="93"/>
  <c r="V69" i="93"/>
  <c r="N69" i="93"/>
  <c r="L69" i="93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N66" i="93"/>
  <c r="L66" i="93"/>
  <c r="B66" i="93"/>
  <c r="Z65" i="93"/>
  <c r="X65" i="93"/>
  <c r="V65" i="93"/>
  <c r="N65" i="93"/>
  <c r="L65" i="93"/>
  <c r="B65" i="93"/>
  <c r="Z64" i="93"/>
  <c r="X64" i="93"/>
  <c r="N64" i="93"/>
  <c r="L64" i="93"/>
  <c r="B64" i="93"/>
  <c r="T63" i="93"/>
  <c r="Z63" i="93" s="1"/>
  <c r="P63" i="93"/>
  <c r="X63" i="93" s="1"/>
  <c r="L63" i="93"/>
  <c r="J63" i="93"/>
  <c r="H63" i="93"/>
  <c r="N63" i="93" s="1"/>
  <c r="D63" i="93"/>
  <c r="B63" i="93"/>
  <c r="Z62" i="93"/>
  <c r="X62" i="93"/>
  <c r="N62" i="93"/>
  <c r="L62" i="93"/>
  <c r="B62" i="93"/>
  <c r="Z61" i="93"/>
  <c r="X61" i="93"/>
  <c r="N61" i="93"/>
  <c r="L61" i="93"/>
  <c r="B61" i="93"/>
  <c r="Z60" i="93"/>
  <c r="X60" i="93"/>
  <c r="T60" i="93"/>
  <c r="P60" i="93"/>
  <c r="H60" i="93"/>
  <c r="N60" i="93" s="1"/>
  <c r="D60" i="93"/>
  <c r="B60" i="93"/>
  <c r="Z59" i="93"/>
  <c r="X59" i="93"/>
  <c r="N59" i="93"/>
  <c r="L59" i="93"/>
  <c r="B59" i="93"/>
  <c r="Z58" i="93"/>
  <c r="X58" i="93"/>
  <c r="N58" i="93"/>
  <c r="L58" i="93"/>
  <c r="B58" i="93"/>
  <c r="Z57" i="93"/>
  <c r="X57" i="93"/>
  <c r="N57" i="93"/>
  <c r="L57" i="93"/>
  <c r="J57" i="93"/>
  <c r="B57" i="93"/>
  <c r="Z56" i="93"/>
  <c r="X56" i="93"/>
  <c r="N56" i="93"/>
  <c r="L56" i="93"/>
  <c r="B56" i="93"/>
  <c r="Z55" i="93"/>
  <c r="X55" i="93"/>
  <c r="T55" i="93"/>
  <c r="P55" i="93"/>
  <c r="H55" i="93"/>
  <c r="N55" i="93" s="1"/>
  <c r="D55" i="93"/>
  <c r="L55" i="93" s="1"/>
  <c r="B55" i="93"/>
  <c r="Z54" i="93"/>
  <c r="X54" i="93"/>
  <c r="N54" i="93"/>
  <c r="L54" i="93"/>
  <c r="B54" i="93"/>
  <c r="X53" i="93"/>
  <c r="T53" i="93"/>
  <c r="Z53" i="93" s="1"/>
  <c r="P53" i="93"/>
  <c r="H53" i="93"/>
  <c r="N53" i="93" s="1"/>
  <c r="D53" i="93"/>
  <c r="L53" i="93" s="1"/>
  <c r="B53" i="93"/>
  <c r="Z52" i="93"/>
  <c r="X52" i="93"/>
  <c r="N52" i="93"/>
  <c r="L52" i="93"/>
  <c r="B52" i="93"/>
  <c r="T51" i="93"/>
  <c r="Z51" i="93" s="1"/>
  <c r="P51" i="93"/>
  <c r="X51" i="93" s="1"/>
  <c r="H51" i="93"/>
  <c r="N51" i="93" s="1"/>
  <c r="D51" i="93"/>
  <c r="L51" i="93" s="1"/>
  <c r="B51" i="93"/>
  <c r="Z50" i="93"/>
  <c r="X50" i="93"/>
  <c r="N50" i="93"/>
  <c r="L50" i="93"/>
  <c r="B50" i="93"/>
  <c r="T49" i="93"/>
  <c r="P49" i="93"/>
  <c r="X49" i="93" s="1"/>
  <c r="N49" i="93"/>
  <c r="L49" i="93"/>
  <c r="H49" i="93"/>
  <c r="D49" i="93"/>
  <c r="B49" i="93"/>
  <c r="Z48" i="93"/>
  <c r="X48" i="93"/>
  <c r="N48" i="93"/>
  <c r="L48" i="93"/>
  <c r="B48" i="93"/>
  <c r="T47" i="93"/>
  <c r="Z47" i="93" s="1"/>
  <c r="P47" i="93"/>
  <c r="X47" i="93" s="1"/>
  <c r="L47" i="93"/>
  <c r="J47" i="93"/>
  <c r="H47" i="93"/>
  <c r="N47" i="93" s="1"/>
  <c r="D47" i="93"/>
  <c r="B47" i="93"/>
  <c r="Z46" i="93"/>
  <c r="X46" i="93"/>
  <c r="N46" i="93"/>
  <c r="L46" i="93"/>
  <c r="J46" i="93"/>
  <c r="B46" i="93"/>
  <c r="T45" i="93"/>
  <c r="Z45" i="93" s="1"/>
  <c r="P45" i="93"/>
  <c r="X45" i="93" s="1"/>
  <c r="H45" i="93"/>
  <c r="N45" i="93" s="1"/>
  <c r="D45" i="93"/>
  <c r="B45" i="93"/>
  <c r="Z44" i="93"/>
  <c r="X44" i="93"/>
  <c r="N44" i="93"/>
  <c r="L44" i="93"/>
  <c r="B44" i="93"/>
  <c r="Z43" i="93"/>
  <c r="X43" i="93"/>
  <c r="T43" i="93"/>
  <c r="P43" i="93"/>
  <c r="H43" i="93"/>
  <c r="N43" i="93" s="1"/>
  <c r="D43" i="93"/>
  <c r="L43" i="93" s="1"/>
  <c r="B43" i="93"/>
  <c r="Z42" i="93"/>
  <c r="X42" i="93"/>
  <c r="N42" i="93"/>
  <c r="L42" i="93"/>
  <c r="B42" i="93"/>
  <c r="Z41" i="93"/>
  <c r="X41" i="93"/>
  <c r="V41" i="93"/>
  <c r="N41" i="93"/>
  <c r="L41" i="93"/>
  <c r="B41" i="93"/>
  <c r="Z40" i="93"/>
  <c r="X40" i="93"/>
  <c r="N40" i="93"/>
  <c r="L40" i="93"/>
  <c r="B40" i="93"/>
  <c r="Z39" i="93"/>
  <c r="X39" i="93"/>
  <c r="N39" i="93"/>
  <c r="L39" i="93"/>
  <c r="F39" i="93"/>
  <c r="B39" i="93"/>
  <c r="Z38" i="93"/>
  <c r="X38" i="93"/>
  <c r="N38" i="93"/>
  <c r="L38" i="93"/>
  <c r="B38" i="93"/>
  <c r="Z37" i="93"/>
  <c r="X37" i="93"/>
  <c r="V37" i="93"/>
  <c r="N37" i="93"/>
  <c r="L37" i="93"/>
  <c r="B37" i="93"/>
  <c r="Z36" i="93"/>
  <c r="X36" i="93"/>
  <c r="N36" i="93"/>
  <c r="L36" i="93"/>
  <c r="B36" i="93"/>
  <c r="Z35" i="93"/>
  <c r="X35" i="93"/>
  <c r="N35" i="93"/>
  <c r="L35" i="93"/>
  <c r="F35" i="93"/>
  <c r="B35" i="93"/>
  <c r="Z34" i="93"/>
  <c r="X34" i="93"/>
  <c r="N34" i="93"/>
  <c r="L34" i="93"/>
  <c r="B34" i="93"/>
  <c r="Z33" i="93"/>
  <c r="X33" i="93"/>
  <c r="V33" i="93"/>
  <c r="N33" i="93"/>
  <c r="L33" i="93"/>
  <c r="B33" i="93"/>
  <c r="Z32" i="93"/>
  <c r="T32" i="93"/>
  <c r="P32" i="93"/>
  <c r="X32" i="93" s="1"/>
  <c r="N32" i="93"/>
  <c r="H32" i="93"/>
  <c r="D32" i="93"/>
  <c r="L32" i="93" s="1"/>
  <c r="B32" i="93"/>
  <c r="Z31" i="93"/>
  <c r="X31" i="93"/>
  <c r="N31" i="93"/>
  <c r="L31" i="93"/>
  <c r="B31" i="93"/>
  <c r="Z30" i="93"/>
  <c r="X30" i="93"/>
  <c r="N30" i="93"/>
  <c r="L30" i="93"/>
  <c r="B30" i="93"/>
  <c r="Z29" i="93"/>
  <c r="X29" i="93"/>
  <c r="N29" i="93"/>
  <c r="L29" i="93"/>
  <c r="B29" i="93"/>
  <c r="Z28" i="93"/>
  <c r="X28" i="93"/>
  <c r="N28" i="93"/>
  <c r="L28" i="93"/>
  <c r="B28" i="93"/>
  <c r="Z27" i="93"/>
  <c r="X27" i="93"/>
  <c r="N27" i="93"/>
  <c r="L27" i="93"/>
  <c r="B27" i="93"/>
  <c r="Z26" i="93"/>
  <c r="X26" i="93"/>
  <c r="N26" i="93"/>
  <c r="L26" i="93"/>
  <c r="B26" i="93"/>
  <c r="Z25" i="93"/>
  <c r="X25" i="93"/>
  <c r="N25" i="93"/>
  <c r="L25" i="93"/>
  <c r="B25" i="93"/>
  <c r="Z24" i="93"/>
  <c r="X24" i="93"/>
  <c r="N24" i="93"/>
  <c r="L24" i="93"/>
  <c r="B24" i="93"/>
  <c r="Z23" i="93"/>
  <c r="X23" i="93"/>
  <c r="N23" i="93"/>
  <c r="L23" i="93"/>
  <c r="B23" i="93"/>
  <c r="V22" i="93"/>
  <c r="T22" i="93"/>
  <c r="Z22" i="93" s="1"/>
  <c r="P22" i="93"/>
  <c r="N22" i="93"/>
  <c r="L22" i="93"/>
  <c r="J22" i="93"/>
  <c r="H22" i="93"/>
  <c r="D22" i="93"/>
  <c r="B22" i="93"/>
  <c r="X21" i="93"/>
  <c r="T21" i="93"/>
  <c r="Z21" i="93" s="1"/>
  <c r="P21" i="93"/>
  <c r="N21" i="93"/>
  <c r="L21" i="93"/>
  <c r="H21" i="93"/>
  <c r="D21" i="93"/>
  <c r="Z17" i="93"/>
  <c r="X17" i="93"/>
  <c r="N17" i="93"/>
  <c r="L17" i="93"/>
  <c r="J17" i="93"/>
  <c r="B17" i="93"/>
  <c r="Z16" i="93"/>
  <c r="X16" i="93"/>
  <c r="T16" i="93"/>
  <c r="P16" i="93"/>
  <c r="J16" i="93"/>
  <c r="H16" i="93"/>
  <c r="F16" i="93"/>
  <c r="D16" i="93"/>
  <c r="Z14" i="93"/>
  <c r="X14" i="93"/>
  <c r="P14" i="93"/>
  <c r="N14" i="93"/>
  <c r="L14" i="93"/>
  <c r="D14" i="93"/>
  <c r="B14" i="93"/>
  <c r="Z13" i="93"/>
  <c r="X13" i="93"/>
  <c r="P13" i="93"/>
  <c r="P12" i="93" s="1"/>
  <c r="N13" i="93"/>
  <c r="D13" i="93"/>
  <c r="L13" i="93" s="1"/>
  <c r="B13" i="93"/>
  <c r="T12" i="93"/>
  <c r="V53" i="93" s="1"/>
  <c r="N12" i="93"/>
  <c r="H12" i="93"/>
  <c r="J72" i="93" s="1"/>
  <c r="D12" i="93"/>
  <c r="F46" i="93" s="1"/>
  <c r="D6" i="93"/>
  <c r="D4" i="93"/>
  <c r="R85" i="92"/>
  <c r="Z80" i="92"/>
  <c r="X80" i="92"/>
  <c r="N80" i="92"/>
  <c r="L80" i="92"/>
  <c r="Z76" i="92"/>
  <c r="V76" i="92"/>
  <c r="T76" i="92"/>
  <c r="P76" i="92"/>
  <c r="X76" i="92" s="1"/>
  <c r="H76" i="92"/>
  <c r="N76" i="92" s="1"/>
  <c r="D76" i="92"/>
  <c r="Z74" i="92"/>
  <c r="X74" i="92"/>
  <c r="N74" i="92"/>
  <c r="L74" i="92"/>
  <c r="B74" i="92"/>
  <c r="X73" i="92"/>
  <c r="T73" i="92"/>
  <c r="Z73" i="92" s="1"/>
  <c r="P73" i="92"/>
  <c r="H73" i="92"/>
  <c r="N73" i="92" s="1"/>
  <c r="D73" i="92"/>
  <c r="L73" i="92" s="1"/>
  <c r="B73" i="92"/>
  <c r="Z72" i="92"/>
  <c r="X72" i="92"/>
  <c r="R72" i="92"/>
  <c r="N72" i="92"/>
  <c r="L72" i="92"/>
  <c r="B72" i="92"/>
  <c r="Z71" i="92"/>
  <c r="X71" i="92"/>
  <c r="N71" i="92"/>
  <c r="L71" i="92"/>
  <c r="B71" i="92"/>
  <c r="Z70" i="92"/>
  <c r="X70" i="92"/>
  <c r="T70" i="92"/>
  <c r="P70" i="92"/>
  <c r="N70" i="92"/>
  <c r="H70" i="92"/>
  <c r="D70" i="92"/>
  <c r="L70" i="92" s="1"/>
  <c r="B70" i="92"/>
  <c r="Z69" i="92"/>
  <c r="X69" i="92"/>
  <c r="N69" i="92"/>
  <c r="L69" i="92"/>
  <c r="B69" i="92"/>
  <c r="Z68" i="92"/>
  <c r="X68" i="92"/>
  <c r="N68" i="92"/>
  <c r="L68" i="92"/>
  <c r="J68" i="92"/>
  <c r="B68" i="92"/>
  <c r="Z67" i="92"/>
  <c r="X67" i="92"/>
  <c r="N67" i="92"/>
  <c r="L67" i="92"/>
  <c r="B67" i="92"/>
  <c r="Z66" i="92"/>
  <c r="X66" i="92"/>
  <c r="V66" i="92"/>
  <c r="N66" i="92"/>
  <c r="L66" i="92"/>
  <c r="B66" i="92"/>
  <c r="Z65" i="92"/>
  <c r="X65" i="92"/>
  <c r="N65" i="92"/>
  <c r="L65" i="92"/>
  <c r="B65" i="92"/>
  <c r="T64" i="92"/>
  <c r="Z64" i="92" s="1"/>
  <c r="P64" i="92"/>
  <c r="N64" i="92"/>
  <c r="H64" i="92"/>
  <c r="D64" i="92"/>
  <c r="L64" i="92" s="1"/>
  <c r="B64" i="92"/>
  <c r="Z63" i="92"/>
  <c r="X63" i="92"/>
  <c r="N63" i="92"/>
  <c r="L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N60" i="92"/>
  <c r="L60" i="92"/>
  <c r="B60" i="92"/>
  <c r="X59" i="92"/>
  <c r="T59" i="92"/>
  <c r="Z59" i="92" s="1"/>
  <c r="P59" i="92"/>
  <c r="H59" i="92"/>
  <c r="N59" i="92" s="1"/>
  <c r="D59" i="92"/>
  <c r="L59" i="92" s="1"/>
  <c r="B59" i="92"/>
  <c r="Z58" i="92"/>
  <c r="X58" i="92"/>
  <c r="N58" i="92"/>
  <c r="L58" i="92"/>
  <c r="B58" i="92"/>
  <c r="T57" i="92"/>
  <c r="Z57" i="92" s="1"/>
  <c r="P57" i="92"/>
  <c r="H57" i="92"/>
  <c r="N57" i="92" s="1"/>
  <c r="D57" i="92"/>
  <c r="L57" i="92" s="1"/>
  <c r="B57" i="92"/>
  <c r="Z56" i="92"/>
  <c r="X56" i="92"/>
  <c r="N56" i="92"/>
  <c r="L56" i="92"/>
  <c r="B56" i="92"/>
  <c r="Z55" i="92"/>
  <c r="X55" i="92"/>
  <c r="R55" i="92"/>
  <c r="N55" i="92"/>
  <c r="L55" i="92"/>
  <c r="B55" i="92"/>
  <c r="Z54" i="92"/>
  <c r="X54" i="92"/>
  <c r="T54" i="92"/>
  <c r="P54" i="92"/>
  <c r="L54" i="92"/>
  <c r="J54" i="92"/>
  <c r="H54" i="92"/>
  <c r="N54" i="92" s="1"/>
  <c r="D54" i="92"/>
  <c r="B54" i="92"/>
  <c r="Z53" i="92"/>
  <c r="X53" i="92"/>
  <c r="N53" i="92"/>
  <c r="L53" i="92"/>
  <c r="B53" i="92"/>
  <c r="Z52" i="92"/>
  <c r="X52" i="92"/>
  <c r="T52" i="92"/>
  <c r="P52" i="92"/>
  <c r="H52" i="92"/>
  <c r="N52" i="92" s="1"/>
  <c r="D52" i="92"/>
  <c r="L52" i="92" s="1"/>
  <c r="B52" i="92"/>
  <c r="Z51" i="92"/>
  <c r="X51" i="92"/>
  <c r="N51" i="92"/>
  <c r="L51" i="92"/>
  <c r="B51" i="92"/>
  <c r="Z50" i="92"/>
  <c r="X50" i="92"/>
  <c r="T50" i="92"/>
  <c r="P50" i="92"/>
  <c r="N50" i="92"/>
  <c r="H50" i="92"/>
  <c r="D50" i="92"/>
  <c r="L50" i="92" s="1"/>
  <c r="B50" i="92"/>
  <c r="Z49" i="92"/>
  <c r="X49" i="92"/>
  <c r="N49" i="92"/>
  <c r="L49" i="92"/>
  <c r="B49" i="92"/>
  <c r="V48" i="92"/>
  <c r="T48" i="92"/>
  <c r="P48" i="92"/>
  <c r="N48" i="92"/>
  <c r="J48" i="92"/>
  <c r="H48" i="92"/>
  <c r="D48" i="92"/>
  <c r="L48" i="92" s="1"/>
  <c r="B48" i="92"/>
  <c r="X47" i="92"/>
  <c r="Z47" i="92" s="1"/>
  <c r="V47" i="92"/>
  <c r="N47" i="92"/>
  <c r="L47" i="92"/>
  <c r="B47" i="92"/>
  <c r="X46" i="92"/>
  <c r="Z46" i="92" s="1"/>
  <c r="L46" i="92"/>
  <c r="N46" i="92" s="1"/>
  <c r="B46" i="92"/>
  <c r="X45" i="92"/>
  <c r="T45" i="92"/>
  <c r="Z45" i="92" s="1"/>
  <c r="P45" i="92"/>
  <c r="L45" i="92"/>
  <c r="J45" i="92"/>
  <c r="H45" i="92"/>
  <c r="N45" i="92" s="1"/>
  <c r="D45" i="92"/>
  <c r="B45" i="92"/>
  <c r="Z44" i="92"/>
  <c r="X44" i="92"/>
  <c r="N44" i="92"/>
  <c r="L44" i="92"/>
  <c r="J44" i="92"/>
  <c r="B44" i="92"/>
  <c r="T43" i="92"/>
  <c r="Z43" i="92" s="1"/>
  <c r="P43" i="92"/>
  <c r="H43" i="92"/>
  <c r="N43" i="92" s="1"/>
  <c r="D43" i="92"/>
  <c r="B43" i="92"/>
  <c r="Z42" i="92"/>
  <c r="X42" i="92"/>
  <c r="V42" i="92"/>
  <c r="N42" i="92"/>
  <c r="L42" i="92"/>
  <c r="B42" i="92"/>
  <c r="Z41" i="92"/>
  <c r="T41" i="92"/>
  <c r="P41" i="92"/>
  <c r="X41" i="92" s="1"/>
  <c r="H41" i="92"/>
  <c r="N41" i="92" s="1"/>
  <c r="D41" i="92"/>
  <c r="L41" i="92" s="1"/>
  <c r="B41" i="92"/>
  <c r="Z40" i="92"/>
  <c r="X40" i="92"/>
  <c r="N40" i="92"/>
  <c r="L40" i="92"/>
  <c r="B40" i="92"/>
  <c r="Z39" i="92"/>
  <c r="X39" i="92"/>
  <c r="V39" i="92"/>
  <c r="N39" i="92"/>
  <c r="L39" i="92"/>
  <c r="B39" i="92"/>
  <c r="Z38" i="92"/>
  <c r="X38" i="92"/>
  <c r="N38" i="92"/>
  <c r="L38" i="92"/>
  <c r="J38" i="92"/>
  <c r="B38" i="92"/>
  <c r="Z37" i="92"/>
  <c r="X37" i="92"/>
  <c r="N37" i="92"/>
  <c r="L37" i="92"/>
  <c r="B37" i="92"/>
  <c r="Z36" i="92"/>
  <c r="X36" i="92"/>
  <c r="N36" i="92"/>
  <c r="L36" i="92"/>
  <c r="B36" i="92"/>
  <c r="Z35" i="92"/>
  <c r="X35" i="92"/>
  <c r="V35" i="92"/>
  <c r="N35" i="92"/>
  <c r="L35" i="92"/>
  <c r="B35" i="92"/>
  <c r="Z34" i="92"/>
  <c r="X34" i="92"/>
  <c r="N34" i="92"/>
  <c r="L34" i="92"/>
  <c r="J34" i="92"/>
  <c r="B34" i="92"/>
  <c r="Z33" i="92"/>
  <c r="X33" i="92"/>
  <c r="N33" i="92"/>
  <c r="L33" i="92"/>
  <c r="B33" i="92"/>
  <c r="Z32" i="92"/>
  <c r="X32" i="92"/>
  <c r="N32" i="92"/>
  <c r="L32" i="92"/>
  <c r="B32" i="92"/>
  <c r="Z31" i="92"/>
  <c r="X31" i="92"/>
  <c r="V31" i="92"/>
  <c r="N31" i="92"/>
  <c r="L31" i="92"/>
  <c r="B31" i="92"/>
  <c r="T30" i="92"/>
  <c r="Z30" i="92" s="1"/>
  <c r="R30" i="92"/>
  <c r="P30" i="92"/>
  <c r="X30" i="92" s="1"/>
  <c r="N30" i="92"/>
  <c r="L30" i="92"/>
  <c r="H30" i="92"/>
  <c r="D30" i="92"/>
  <c r="B30" i="92"/>
  <c r="Z29" i="92"/>
  <c r="X29" i="92"/>
  <c r="V29" i="92"/>
  <c r="R29" i="92"/>
  <c r="N29" i="92"/>
  <c r="L29" i="92"/>
  <c r="B29" i="92"/>
  <c r="Z28" i="92"/>
  <c r="X28" i="92"/>
  <c r="N28" i="92"/>
  <c r="L28" i="92"/>
  <c r="J28" i="92"/>
  <c r="B28" i="92"/>
  <c r="Z27" i="92"/>
  <c r="X27" i="92"/>
  <c r="N27" i="92"/>
  <c r="L27" i="92"/>
  <c r="B27" i="92"/>
  <c r="Z26" i="92"/>
  <c r="X26" i="92"/>
  <c r="V26" i="92"/>
  <c r="N26" i="92"/>
  <c r="L26" i="92"/>
  <c r="J26" i="92"/>
  <c r="B26" i="92"/>
  <c r="Z25" i="92"/>
  <c r="X25" i="92"/>
  <c r="V25" i="92"/>
  <c r="R25" i="92"/>
  <c r="N25" i="92"/>
  <c r="L25" i="92"/>
  <c r="B25" i="92"/>
  <c r="Z24" i="92"/>
  <c r="X24" i="92"/>
  <c r="N24" i="92"/>
  <c r="L24" i="92"/>
  <c r="J24" i="92"/>
  <c r="B24" i="92"/>
  <c r="Z23" i="92"/>
  <c r="X23" i="92"/>
  <c r="N23" i="92"/>
  <c r="L23" i="92"/>
  <c r="J23" i="92"/>
  <c r="B23" i="92"/>
  <c r="Z22" i="92"/>
  <c r="X22" i="92"/>
  <c r="V22" i="92"/>
  <c r="N22" i="92"/>
  <c r="L22" i="92"/>
  <c r="J22" i="92"/>
  <c r="B22" i="92"/>
  <c r="V21" i="92"/>
  <c r="T21" i="92"/>
  <c r="Z21" i="92" s="1"/>
  <c r="R21" i="92"/>
  <c r="P21" i="92"/>
  <c r="X21" i="92" s="1"/>
  <c r="H21" i="92"/>
  <c r="N21" i="92" s="1"/>
  <c r="D21" i="92"/>
  <c r="B21" i="92"/>
  <c r="V20" i="92"/>
  <c r="T20" i="92"/>
  <c r="P20" i="92"/>
  <c r="J20" i="92"/>
  <c r="H20" i="92"/>
  <c r="D20" i="92"/>
  <c r="L20" i="92" s="1"/>
  <c r="V18" i="92"/>
  <c r="T18" i="92"/>
  <c r="J18" i="92"/>
  <c r="H18" i="92"/>
  <c r="H78" i="92" s="1"/>
  <c r="H82" i="92" s="1"/>
  <c r="Z16" i="92"/>
  <c r="X16" i="92"/>
  <c r="V16" i="92"/>
  <c r="R16" i="92"/>
  <c r="N16" i="92"/>
  <c r="L16" i="92"/>
  <c r="B16" i="92"/>
  <c r="Z15" i="92"/>
  <c r="V15" i="92"/>
  <c r="T15" i="92"/>
  <c r="P15" i="92"/>
  <c r="X15" i="92" s="1"/>
  <c r="N15" i="92"/>
  <c r="J15" i="92"/>
  <c r="H15" i="92"/>
  <c r="D15" i="92"/>
  <c r="L15" i="92" s="1"/>
  <c r="Z13" i="92"/>
  <c r="P13" i="92"/>
  <c r="P12" i="92" s="1"/>
  <c r="N13" i="92"/>
  <c r="D13" i="92"/>
  <c r="B13" i="92"/>
  <c r="Z12" i="92"/>
  <c r="T12" i="92"/>
  <c r="V51" i="92" s="1"/>
  <c r="N12" i="92"/>
  <c r="H12" i="92"/>
  <c r="J51" i="92" s="1"/>
  <c r="D6" i="92"/>
  <c r="D4" i="92"/>
  <c r="Z87" i="91"/>
  <c r="X87" i="91"/>
  <c r="N87" i="91"/>
  <c r="L87" i="91"/>
  <c r="R85" i="91"/>
  <c r="Z83" i="91"/>
  <c r="P83" i="91"/>
  <c r="N83" i="91"/>
  <c r="L83" i="91"/>
  <c r="D83" i="91"/>
  <c r="B83" i="91"/>
  <c r="Z82" i="91"/>
  <c r="P82" i="91"/>
  <c r="X82" i="91" s="1"/>
  <c r="N82" i="91"/>
  <c r="L82" i="91"/>
  <c r="D82" i="91"/>
  <c r="B82" i="91"/>
  <c r="Z81" i="91"/>
  <c r="T81" i="91"/>
  <c r="N81" i="91"/>
  <c r="L81" i="91"/>
  <c r="H81" i="91"/>
  <c r="D81" i="91"/>
  <c r="Z79" i="91"/>
  <c r="X79" i="91"/>
  <c r="L79" i="91"/>
  <c r="N79" i="91" s="1"/>
  <c r="J79" i="91"/>
  <c r="B79" i="91"/>
  <c r="T78" i="91"/>
  <c r="Z78" i="91" s="1"/>
  <c r="P78" i="91"/>
  <c r="X78" i="91" s="1"/>
  <c r="H78" i="91"/>
  <c r="D78" i="91"/>
  <c r="B78" i="91"/>
  <c r="Z77" i="91"/>
  <c r="X77" i="91"/>
  <c r="N77" i="91"/>
  <c r="L77" i="91"/>
  <c r="B77" i="91"/>
  <c r="Z76" i="91"/>
  <c r="T76" i="91"/>
  <c r="P76" i="91"/>
  <c r="X76" i="91" s="1"/>
  <c r="N76" i="91"/>
  <c r="H76" i="91"/>
  <c r="D76" i="91"/>
  <c r="L76" i="91" s="1"/>
  <c r="B76" i="91"/>
  <c r="Z75" i="91"/>
  <c r="X75" i="91"/>
  <c r="N75" i="91"/>
  <c r="L75" i="91"/>
  <c r="B75" i="91"/>
  <c r="X74" i="91"/>
  <c r="V74" i="91"/>
  <c r="T74" i="91"/>
  <c r="P74" i="91"/>
  <c r="L74" i="91"/>
  <c r="N74" i="91" s="1"/>
  <c r="H74" i="91"/>
  <c r="D74" i="91"/>
  <c r="B74" i="91"/>
  <c r="Z73" i="91"/>
  <c r="X73" i="91"/>
  <c r="N73" i="91"/>
  <c r="L73" i="91"/>
  <c r="B73" i="91"/>
  <c r="Z72" i="91"/>
  <c r="X72" i="91"/>
  <c r="R72" i="91"/>
  <c r="N72" i="91"/>
  <c r="L72" i="91"/>
  <c r="B72" i="91"/>
  <c r="Z71" i="91"/>
  <c r="X71" i="91"/>
  <c r="N71" i="91"/>
  <c r="L71" i="91"/>
  <c r="J71" i="91"/>
  <c r="F71" i="91"/>
  <c r="B71" i="91"/>
  <c r="Z70" i="91"/>
  <c r="X70" i="91"/>
  <c r="N70" i="91"/>
  <c r="L70" i="91"/>
  <c r="B70" i="91"/>
  <c r="Z69" i="91"/>
  <c r="X69" i="91"/>
  <c r="N69" i="91"/>
  <c r="L69" i="91"/>
  <c r="B69" i="91"/>
  <c r="Z68" i="91"/>
  <c r="X68" i="91"/>
  <c r="R68" i="91"/>
  <c r="N68" i="91"/>
  <c r="L68" i="91"/>
  <c r="B68" i="91"/>
  <c r="Z67" i="91"/>
  <c r="X67" i="91"/>
  <c r="N67" i="91"/>
  <c r="L67" i="91"/>
  <c r="J67" i="91"/>
  <c r="B67" i="91"/>
  <c r="T66" i="91"/>
  <c r="Z66" i="91" s="1"/>
  <c r="P66" i="91"/>
  <c r="X66" i="91" s="1"/>
  <c r="H66" i="91"/>
  <c r="N66" i="91" s="1"/>
  <c r="D66" i="91"/>
  <c r="B66" i="91"/>
  <c r="X65" i="91"/>
  <c r="Z65" i="91" s="1"/>
  <c r="N65" i="91"/>
  <c r="L65" i="91"/>
  <c r="B65" i="91"/>
  <c r="T64" i="91"/>
  <c r="P64" i="91"/>
  <c r="X64" i="91" s="1"/>
  <c r="Z64" i="91" s="1"/>
  <c r="N64" i="91"/>
  <c r="H64" i="91"/>
  <c r="D64" i="91"/>
  <c r="L64" i="91" s="1"/>
  <c r="B64" i="91"/>
  <c r="Z63" i="91"/>
  <c r="X63" i="91"/>
  <c r="N63" i="91"/>
  <c r="L63" i="91"/>
  <c r="B63" i="91"/>
  <c r="X62" i="91"/>
  <c r="Z62" i="91" s="1"/>
  <c r="V62" i="91"/>
  <c r="N62" i="91"/>
  <c r="L62" i="91"/>
  <c r="B62" i="91"/>
  <c r="Z61" i="91"/>
  <c r="X61" i="91"/>
  <c r="N61" i="91"/>
  <c r="L61" i="91"/>
  <c r="B61" i="91"/>
  <c r="X60" i="91"/>
  <c r="Z60" i="91" s="1"/>
  <c r="N60" i="91"/>
  <c r="L60" i="91"/>
  <c r="F60" i="91"/>
  <c r="B60" i="91"/>
  <c r="T59" i="91"/>
  <c r="P59" i="91"/>
  <c r="X59" i="91" s="1"/>
  <c r="Z59" i="91" s="1"/>
  <c r="H59" i="91"/>
  <c r="D59" i="91"/>
  <c r="L59" i="91" s="1"/>
  <c r="B59" i="91"/>
  <c r="Z58" i="91"/>
  <c r="X58" i="91"/>
  <c r="N58" i="91"/>
  <c r="L58" i="91"/>
  <c r="B58" i="91"/>
  <c r="Z57" i="91"/>
  <c r="X57" i="91"/>
  <c r="N57" i="91"/>
  <c r="L57" i="91"/>
  <c r="B57" i="91"/>
  <c r="Z56" i="91"/>
  <c r="X56" i="91"/>
  <c r="R56" i="91"/>
  <c r="N56" i="91"/>
  <c r="L56" i="91"/>
  <c r="B56" i="91"/>
  <c r="Z55" i="91"/>
  <c r="T55" i="91"/>
  <c r="P55" i="91"/>
  <c r="X55" i="91" s="1"/>
  <c r="N55" i="91"/>
  <c r="L55" i="91"/>
  <c r="H55" i="91"/>
  <c r="D55" i="91"/>
  <c r="B55" i="91"/>
  <c r="Z54" i="91"/>
  <c r="X54" i="91"/>
  <c r="L54" i="91"/>
  <c r="N54" i="91" s="1"/>
  <c r="J54" i="91"/>
  <c r="B54" i="91"/>
  <c r="T53" i="91"/>
  <c r="Z53" i="91" s="1"/>
  <c r="P53" i="91"/>
  <c r="X53" i="91" s="1"/>
  <c r="J53" i="91"/>
  <c r="H53" i="91"/>
  <c r="D53" i="91"/>
  <c r="B53" i="91"/>
  <c r="Z52" i="91"/>
  <c r="X52" i="91"/>
  <c r="N52" i="91"/>
  <c r="L52" i="91"/>
  <c r="B52" i="91"/>
  <c r="Z51" i="91"/>
  <c r="T51" i="91"/>
  <c r="P51" i="91"/>
  <c r="X51" i="91" s="1"/>
  <c r="H51" i="91"/>
  <c r="N51" i="91" s="1"/>
  <c r="D51" i="91"/>
  <c r="L51" i="91" s="1"/>
  <c r="B51" i="91"/>
  <c r="Z50" i="91"/>
  <c r="X50" i="91"/>
  <c r="N50" i="91"/>
  <c r="L50" i="91"/>
  <c r="B50" i="91"/>
  <c r="Z49" i="91"/>
  <c r="X49" i="91"/>
  <c r="T49" i="91"/>
  <c r="P49" i="91"/>
  <c r="N49" i="91"/>
  <c r="H49" i="91"/>
  <c r="D49" i="91"/>
  <c r="L49" i="91" s="1"/>
  <c r="B49" i="91"/>
  <c r="Z48" i="91"/>
  <c r="X48" i="91"/>
  <c r="N48" i="91"/>
  <c r="L48" i="91"/>
  <c r="B48" i="91"/>
  <c r="V47" i="91"/>
  <c r="T47" i="91"/>
  <c r="P47" i="91"/>
  <c r="H47" i="91"/>
  <c r="N47" i="91" s="1"/>
  <c r="D47" i="91"/>
  <c r="L47" i="91" s="1"/>
  <c r="B47" i="91"/>
  <c r="X46" i="91"/>
  <c r="Z46" i="91" s="1"/>
  <c r="V46" i="91"/>
  <c r="N46" i="91"/>
  <c r="L46" i="91"/>
  <c r="B46" i="91"/>
  <c r="Z45" i="91"/>
  <c r="X45" i="91"/>
  <c r="N45" i="91"/>
  <c r="L45" i="91"/>
  <c r="B45" i="91"/>
  <c r="X44" i="91"/>
  <c r="Z44" i="91" s="1"/>
  <c r="T44" i="91"/>
  <c r="P44" i="91"/>
  <c r="L44" i="91"/>
  <c r="J44" i="91"/>
  <c r="H44" i="91"/>
  <c r="N44" i="91" s="1"/>
  <c r="D44" i="91"/>
  <c r="B44" i="91"/>
  <c r="Z43" i="91"/>
  <c r="X43" i="91"/>
  <c r="N43" i="91"/>
  <c r="L43" i="91"/>
  <c r="J43" i="91"/>
  <c r="B43" i="91"/>
  <c r="T42" i="91"/>
  <c r="Z42" i="91" s="1"/>
  <c r="P42" i="91"/>
  <c r="H42" i="91"/>
  <c r="N42" i="91" s="1"/>
  <c r="F42" i="91"/>
  <c r="D42" i="91"/>
  <c r="L42" i="91" s="1"/>
  <c r="B42" i="91"/>
  <c r="Z41" i="91"/>
  <c r="X41" i="91"/>
  <c r="V41" i="91"/>
  <c r="N41" i="91"/>
  <c r="L41" i="91"/>
  <c r="B41" i="91"/>
  <c r="Z40" i="91"/>
  <c r="T40" i="91"/>
  <c r="P40" i="91"/>
  <c r="X40" i="91" s="1"/>
  <c r="N40" i="91"/>
  <c r="H40" i="91"/>
  <c r="D40" i="91"/>
  <c r="L40" i="91" s="1"/>
  <c r="B40" i="91"/>
  <c r="Z39" i="91"/>
  <c r="X39" i="91"/>
  <c r="N39" i="91"/>
  <c r="L39" i="91"/>
  <c r="B39" i="91"/>
  <c r="Z38" i="91"/>
  <c r="X38" i="91"/>
  <c r="V38" i="91"/>
  <c r="N38" i="91"/>
  <c r="L38" i="91"/>
  <c r="B38" i="91"/>
  <c r="Z37" i="91"/>
  <c r="X37" i="91"/>
  <c r="N37" i="91"/>
  <c r="L37" i="91"/>
  <c r="B37" i="91"/>
  <c r="Z36" i="91"/>
  <c r="X36" i="91"/>
  <c r="N36" i="91"/>
  <c r="L36" i="91"/>
  <c r="F36" i="91"/>
  <c r="B36" i="91"/>
  <c r="Z35" i="91"/>
  <c r="X35" i="91"/>
  <c r="N35" i="91"/>
  <c r="L35" i="91"/>
  <c r="B35" i="91"/>
  <c r="Z34" i="91"/>
  <c r="X34" i="91"/>
  <c r="V34" i="91"/>
  <c r="N34" i="91"/>
  <c r="L34" i="91"/>
  <c r="F34" i="91"/>
  <c r="B34" i="91"/>
  <c r="Z33" i="91"/>
  <c r="X33" i="91"/>
  <c r="N33" i="91"/>
  <c r="L33" i="91"/>
  <c r="B33" i="91"/>
  <c r="Z32" i="91"/>
  <c r="X32" i="91"/>
  <c r="N32" i="91"/>
  <c r="L32" i="91"/>
  <c r="B32" i="91"/>
  <c r="Z31" i="91"/>
  <c r="X31" i="91"/>
  <c r="N31" i="91"/>
  <c r="L31" i="91"/>
  <c r="B31" i="91"/>
  <c r="Z30" i="91"/>
  <c r="X30" i="91"/>
  <c r="V30" i="91"/>
  <c r="N30" i="91"/>
  <c r="L30" i="91"/>
  <c r="B30" i="91"/>
  <c r="T29" i="91"/>
  <c r="Z29" i="91" s="1"/>
  <c r="R29" i="91"/>
  <c r="P29" i="91"/>
  <c r="X29" i="91" s="1"/>
  <c r="N29" i="91"/>
  <c r="H29" i="91"/>
  <c r="D29" i="91"/>
  <c r="L29" i="91" s="1"/>
  <c r="B29" i="91"/>
  <c r="Z28" i="91"/>
  <c r="X28" i="91"/>
  <c r="R28" i="91"/>
  <c r="N28" i="91"/>
  <c r="L28" i="91"/>
  <c r="B28" i="91"/>
  <c r="Z27" i="91"/>
  <c r="X27" i="91"/>
  <c r="N27" i="91"/>
  <c r="L27" i="91"/>
  <c r="B27" i="91"/>
  <c r="Z26" i="91"/>
  <c r="X26" i="91"/>
  <c r="R26" i="91"/>
  <c r="N26" i="91"/>
  <c r="L26" i="91"/>
  <c r="B26" i="91"/>
  <c r="Z25" i="91"/>
  <c r="X25" i="91"/>
  <c r="V25" i="91"/>
  <c r="N25" i="91"/>
  <c r="L25" i="91"/>
  <c r="J25" i="91"/>
  <c r="B25" i="91"/>
  <c r="Z24" i="91"/>
  <c r="X24" i="91"/>
  <c r="R24" i="91"/>
  <c r="N24" i="91"/>
  <c r="L24" i="91"/>
  <c r="B24" i="91"/>
  <c r="Z23" i="91"/>
  <c r="X23" i="91"/>
  <c r="N23" i="91"/>
  <c r="L23" i="91"/>
  <c r="J23" i="91"/>
  <c r="B23" i="91"/>
  <c r="X22" i="91"/>
  <c r="Z22" i="91" s="1"/>
  <c r="R22" i="91"/>
  <c r="N22" i="91"/>
  <c r="L22" i="91"/>
  <c r="B22" i="91"/>
  <c r="Z21" i="91"/>
  <c r="X21" i="91"/>
  <c r="V21" i="91"/>
  <c r="N21" i="91"/>
  <c r="L21" i="91"/>
  <c r="J21" i="91"/>
  <c r="B21" i="91"/>
  <c r="Z20" i="91"/>
  <c r="X20" i="91"/>
  <c r="V20" i="91"/>
  <c r="R20" i="91"/>
  <c r="N20" i="91"/>
  <c r="L20" i="91"/>
  <c r="B20" i="91"/>
  <c r="Z19" i="91"/>
  <c r="X19" i="91"/>
  <c r="T19" i="91"/>
  <c r="P19" i="91"/>
  <c r="L19" i="91"/>
  <c r="N19" i="91" s="1"/>
  <c r="J19" i="91"/>
  <c r="H19" i="91"/>
  <c r="D19" i="91"/>
  <c r="B19" i="91"/>
  <c r="T18" i="91"/>
  <c r="P18" i="91"/>
  <c r="X18" i="91" s="1"/>
  <c r="Z18" i="91" s="1"/>
  <c r="H18" i="91"/>
  <c r="D18" i="91"/>
  <c r="L18" i="91" s="1"/>
  <c r="N18" i="91" s="1"/>
  <c r="P16" i="91"/>
  <c r="N16" i="91"/>
  <c r="Z14" i="91"/>
  <c r="T14" i="91"/>
  <c r="T16" i="91" s="1"/>
  <c r="T85" i="91" s="1"/>
  <c r="R14" i="91"/>
  <c r="P14" i="91"/>
  <c r="X14" i="91" s="1"/>
  <c r="H14" i="91"/>
  <c r="H16" i="91" s="1"/>
  <c r="H85" i="91" s="1"/>
  <c r="D14" i="91"/>
  <c r="L14" i="91" s="1"/>
  <c r="Z12" i="91"/>
  <c r="T12" i="91"/>
  <c r="V76" i="91" s="1"/>
  <c r="P12" i="91"/>
  <c r="R87" i="91" s="1"/>
  <c r="H12" i="91"/>
  <c r="J27" i="91" s="1"/>
  <c r="D12" i="91"/>
  <c r="F43" i="91" s="1"/>
  <c r="D6" i="91"/>
  <c r="D4" i="91"/>
  <c r="V26" i="89"/>
  <c r="Z24" i="89"/>
  <c r="X24" i="89"/>
  <c r="R24" i="89"/>
  <c r="N24" i="89"/>
  <c r="L24" i="89"/>
  <c r="F24" i="89"/>
  <c r="R22" i="89"/>
  <c r="T20" i="89"/>
  <c r="Z20" i="89" s="1"/>
  <c r="R20" i="89"/>
  <c r="P20" i="89"/>
  <c r="X20" i="89" s="1"/>
  <c r="N20" i="89"/>
  <c r="H20" i="89"/>
  <c r="L20" i="89" s="1"/>
  <c r="D20" i="89"/>
  <c r="Z18" i="89"/>
  <c r="T18" i="89"/>
  <c r="R18" i="89"/>
  <c r="P18" i="89"/>
  <c r="X18" i="89" s="1"/>
  <c r="H18" i="89"/>
  <c r="F18" i="89"/>
  <c r="D18" i="89"/>
  <c r="R16" i="89"/>
  <c r="F16" i="89"/>
  <c r="D16" i="89"/>
  <c r="Z14" i="89"/>
  <c r="T14" i="89"/>
  <c r="P14" i="89"/>
  <c r="X14" i="89" s="1"/>
  <c r="H14" i="89"/>
  <c r="N14" i="89" s="1"/>
  <c r="F14" i="89"/>
  <c r="D14" i="89"/>
  <c r="L14" i="89" s="1"/>
  <c r="Z12" i="89"/>
  <c r="X12" i="89"/>
  <c r="T12" i="89"/>
  <c r="P12" i="89"/>
  <c r="R14" i="89" s="1"/>
  <c r="H12" i="89"/>
  <c r="J29" i="89" s="1"/>
  <c r="D12" i="89"/>
  <c r="D6" i="89"/>
  <c r="D4" i="89"/>
  <c r="V39" i="88"/>
  <c r="J39" i="88"/>
  <c r="V36" i="88"/>
  <c r="J36" i="88"/>
  <c r="Z34" i="88"/>
  <c r="X34" i="88"/>
  <c r="V34" i="88"/>
  <c r="R34" i="88"/>
  <c r="N34" i="88"/>
  <c r="L34" i="88"/>
  <c r="Z30" i="88"/>
  <c r="T30" i="88"/>
  <c r="P30" i="88"/>
  <c r="X30" i="88" s="1"/>
  <c r="N30" i="88"/>
  <c r="L30" i="88"/>
  <c r="H30" i="88"/>
  <c r="D30" i="88"/>
  <c r="Z28" i="88"/>
  <c r="X28" i="88"/>
  <c r="N28" i="88"/>
  <c r="L28" i="88"/>
  <c r="J28" i="88"/>
  <c r="F28" i="88"/>
  <c r="B28" i="88"/>
  <c r="T27" i="88"/>
  <c r="Z27" i="88" s="1"/>
  <c r="P27" i="88"/>
  <c r="X27" i="88" s="1"/>
  <c r="H27" i="88"/>
  <c r="N27" i="88" s="1"/>
  <c r="F27" i="88"/>
  <c r="D27" i="88"/>
  <c r="L27" i="88" s="1"/>
  <c r="B27" i="88"/>
  <c r="Z26" i="88"/>
  <c r="X26" i="88"/>
  <c r="V26" i="88"/>
  <c r="N26" i="88"/>
  <c r="L26" i="88"/>
  <c r="F26" i="88"/>
  <c r="B26" i="88"/>
  <c r="Z25" i="88"/>
  <c r="T25" i="88"/>
  <c r="P25" i="88"/>
  <c r="X25" i="88" s="1"/>
  <c r="H25" i="88"/>
  <c r="N25" i="88" s="1"/>
  <c r="F25" i="88"/>
  <c r="D25" i="88"/>
  <c r="L25" i="88" s="1"/>
  <c r="B25" i="88"/>
  <c r="Z24" i="88"/>
  <c r="X24" i="88"/>
  <c r="N24" i="88"/>
  <c r="L24" i="88"/>
  <c r="B24" i="88"/>
  <c r="Z23" i="88"/>
  <c r="X23" i="88"/>
  <c r="V23" i="88"/>
  <c r="T23" i="88"/>
  <c r="P23" i="88"/>
  <c r="L23" i="88"/>
  <c r="H23" i="88"/>
  <c r="N23" i="88" s="1"/>
  <c r="D23" i="88"/>
  <c r="B23" i="88"/>
  <c r="X22" i="88"/>
  <c r="Z22" i="88" s="1"/>
  <c r="N22" i="88"/>
  <c r="L22" i="88"/>
  <c r="J22" i="88"/>
  <c r="B22" i="88"/>
  <c r="V21" i="88"/>
  <c r="T21" i="88"/>
  <c r="R21" i="88"/>
  <c r="P21" i="88"/>
  <c r="H21" i="88"/>
  <c r="D21" i="88"/>
  <c r="L21" i="88" s="1"/>
  <c r="B21" i="88"/>
  <c r="Z20" i="88"/>
  <c r="X20" i="88"/>
  <c r="V20" i="88"/>
  <c r="R20" i="88"/>
  <c r="N20" i="88"/>
  <c r="L20" i="88"/>
  <c r="B20" i="88"/>
  <c r="T19" i="88"/>
  <c r="Z19" i="88" s="1"/>
  <c r="P19" i="88"/>
  <c r="X19" i="88" s="1"/>
  <c r="N19" i="88"/>
  <c r="H19" i="88"/>
  <c r="D19" i="88"/>
  <c r="L19" i="88" s="1"/>
  <c r="B19" i="88"/>
  <c r="T18" i="88"/>
  <c r="Z18" i="88" s="1"/>
  <c r="R18" i="88"/>
  <c r="P18" i="88"/>
  <c r="X18" i="88" s="1"/>
  <c r="N18" i="88"/>
  <c r="L18" i="88"/>
  <c r="H18" i="88"/>
  <c r="F18" i="88"/>
  <c r="D18" i="88"/>
  <c r="R16" i="88"/>
  <c r="P16" i="88"/>
  <c r="F16" i="88"/>
  <c r="T14" i="88"/>
  <c r="Z14" i="88" s="1"/>
  <c r="R14" i="88"/>
  <c r="P14" i="88"/>
  <c r="X14" i="88" s="1"/>
  <c r="N14" i="88"/>
  <c r="L14" i="88"/>
  <c r="H14" i="88"/>
  <c r="F14" i="88"/>
  <c r="D14" i="88"/>
  <c r="T12" i="88"/>
  <c r="V25" i="88" s="1"/>
  <c r="P12" i="88"/>
  <c r="R23" i="88" s="1"/>
  <c r="N12" i="88"/>
  <c r="L12" i="88"/>
  <c r="H12" i="88"/>
  <c r="J19" i="88" s="1"/>
  <c r="D12" i="88"/>
  <c r="F32" i="88" s="1"/>
  <c r="D6" i="88"/>
  <c r="D4" i="88"/>
  <c r="Z93" i="87"/>
  <c r="X93" i="87"/>
  <c r="N93" i="87"/>
  <c r="L93" i="87"/>
  <c r="J93" i="87"/>
  <c r="F93" i="87"/>
  <c r="F91" i="87"/>
  <c r="Z89" i="87"/>
  <c r="T89" i="87"/>
  <c r="P89" i="87"/>
  <c r="X89" i="87" s="1"/>
  <c r="H89" i="87"/>
  <c r="N89" i="87" s="1"/>
  <c r="F89" i="87"/>
  <c r="D89" i="87"/>
  <c r="L89" i="87" s="1"/>
  <c r="Z87" i="87"/>
  <c r="X87" i="87"/>
  <c r="N87" i="87"/>
  <c r="L87" i="87"/>
  <c r="B87" i="87"/>
  <c r="Z86" i="87"/>
  <c r="X86" i="87"/>
  <c r="V86" i="87"/>
  <c r="T86" i="87"/>
  <c r="P86" i="87"/>
  <c r="L86" i="87"/>
  <c r="H86" i="87"/>
  <c r="N86" i="87" s="1"/>
  <c r="D86" i="87"/>
  <c r="B86" i="87"/>
  <c r="Z85" i="87"/>
  <c r="X85" i="87"/>
  <c r="N85" i="87"/>
  <c r="L85" i="87"/>
  <c r="B85" i="87"/>
  <c r="T84" i="87"/>
  <c r="Z84" i="87" s="1"/>
  <c r="P84" i="87"/>
  <c r="H84" i="87"/>
  <c r="N84" i="87" s="1"/>
  <c r="D84" i="87"/>
  <c r="L84" i="87" s="1"/>
  <c r="B84" i="87"/>
  <c r="Z83" i="87"/>
  <c r="X83" i="87"/>
  <c r="V83" i="87"/>
  <c r="N83" i="87"/>
  <c r="L83" i="87"/>
  <c r="B83" i="87"/>
  <c r="T82" i="87"/>
  <c r="Z82" i="87" s="1"/>
  <c r="P82" i="87"/>
  <c r="X82" i="87" s="1"/>
  <c r="N82" i="87"/>
  <c r="H82" i="87"/>
  <c r="D82" i="87"/>
  <c r="L82" i="87" s="1"/>
  <c r="B82" i="87"/>
  <c r="Z81" i="87"/>
  <c r="X81" i="87"/>
  <c r="N81" i="87"/>
  <c r="L81" i="87"/>
  <c r="B81" i="87"/>
  <c r="X80" i="87"/>
  <c r="T80" i="87"/>
  <c r="Z80" i="87" s="1"/>
  <c r="P80" i="87"/>
  <c r="N80" i="87"/>
  <c r="L80" i="87"/>
  <c r="H80" i="87"/>
  <c r="D80" i="87"/>
  <c r="B80" i="87"/>
  <c r="Z79" i="87"/>
  <c r="X79" i="87"/>
  <c r="N79" i="87"/>
  <c r="L79" i="87"/>
  <c r="F79" i="87"/>
  <c r="B79" i="87"/>
  <c r="Z78" i="87"/>
  <c r="X78" i="87"/>
  <c r="N78" i="87"/>
  <c r="L78" i="87"/>
  <c r="B78" i="87"/>
  <c r="Z77" i="87"/>
  <c r="X77" i="87"/>
  <c r="N77" i="87"/>
  <c r="L77" i="87"/>
  <c r="B77" i="87"/>
  <c r="Z76" i="87"/>
  <c r="X76" i="87"/>
  <c r="N76" i="87"/>
  <c r="L76" i="87"/>
  <c r="B76" i="87"/>
  <c r="Z75" i="87"/>
  <c r="X75" i="87"/>
  <c r="N75" i="87"/>
  <c r="L75" i="87"/>
  <c r="F75" i="87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B72" i="87"/>
  <c r="Z71" i="87"/>
  <c r="X71" i="87"/>
  <c r="N71" i="87"/>
  <c r="L71" i="87"/>
  <c r="F71" i="87"/>
  <c r="B71" i="87"/>
  <c r="T70" i="87"/>
  <c r="Z70" i="87" s="1"/>
  <c r="P70" i="87"/>
  <c r="X70" i="87" s="1"/>
  <c r="H70" i="87"/>
  <c r="N70" i="87" s="1"/>
  <c r="F70" i="87"/>
  <c r="D70" i="87"/>
  <c r="L70" i="87" s="1"/>
  <c r="B70" i="87"/>
  <c r="Z69" i="87"/>
  <c r="X69" i="87"/>
  <c r="V69" i="87"/>
  <c r="N69" i="87"/>
  <c r="L69" i="87"/>
  <c r="B69" i="87"/>
  <c r="Z68" i="87"/>
  <c r="T68" i="87"/>
  <c r="P68" i="87"/>
  <c r="X68" i="87" s="1"/>
  <c r="H68" i="87"/>
  <c r="N68" i="87" s="1"/>
  <c r="D68" i="87"/>
  <c r="L68" i="87" s="1"/>
  <c r="B68" i="87"/>
  <c r="Z67" i="87"/>
  <c r="X67" i="87"/>
  <c r="N67" i="87"/>
  <c r="L67" i="87"/>
  <c r="B67" i="87"/>
  <c r="Z66" i="87"/>
  <c r="X66" i="87"/>
  <c r="V66" i="87"/>
  <c r="N66" i="87"/>
  <c r="L66" i="87"/>
  <c r="B66" i="87"/>
  <c r="Z65" i="87"/>
  <c r="X65" i="87"/>
  <c r="N65" i="87"/>
  <c r="L65" i="87"/>
  <c r="B65" i="87"/>
  <c r="Z64" i="87"/>
  <c r="X64" i="87"/>
  <c r="N64" i="87"/>
  <c r="L64" i="87"/>
  <c r="F64" i="87"/>
  <c r="B64" i="87"/>
  <c r="Z63" i="87"/>
  <c r="T63" i="87"/>
  <c r="P63" i="87"/>
  <c r="X63" i="87" s="1"/>
  <c r="H63" i="87"/>
  <c r="N63" i="87" s="1"/>
  <c r="F63" i="87"/>
  <c r="D63" i="87"/>
  <c r="L63" i="87" s="1"/>
  <c r="B63" i="87"/>
  <c r="Z62" i="87"/>
  <c r="X62" i="87"/>
  <c r="N62" i="87"/>
  <c r="L62" i="87"/>
  <c r="B62" i="87"/>
  <c r="Z61" i="87"/>
  <c r="X61" i="87"/>
  <c r="T61" i="87"/>
  <c r="P61" i="87"/>
  <c r="N61" i="87"/>
  <c r="H61" i="87"/>
  <c r="D61" i="87"/>
  <c r="L61" i="87" s="1"/>
  <c r="B61" i="87"/>
  <c r="Z60" i="87"/>
  <c r="X60" i="87"/>
  <c r="N60" i="87"/>
  <c r="L60" i="87"/>
  <c r="B60" i="87"/>
  <c r="Z59" i="87"/>
  <c r="X59" i="87"/>
  <c r="V59" i="87"/>
  <c r="N59" i="87"/>
  <c r="L59" i="87"/>
  <c r="B59" i="87"/>
  <c r="T58" i="87"/>
  <c r="Z58" i="87" s="1"/>
  <c r="P58" i="87"/>
  <c r="X58" i="87" s="1"/>
  <c r="N58" i="87"/>
  <c r="H58" i="87"/>
  <c r="D58" i="87"/>
  <c r="L58" i="87" s="1"/>
  <c r="B58" i="87"/>
  <c r="Z57" i="87"/>
  <c r="X57" i="87"/>
  <c r="N57" i="87"/>
  <c r="L57" i="87"/>
  <c r="B57" i="87"/>
  <c r="X56" i="87"/>
  <c r="T56" i="87"/>
  <c r="Z56" i="87" s="1"/>
  <c r="P56" i="87"/>
  <c r="L56" i="87"/>
  <c r="N56" i="87" s="1"/>
  <c r="H56" i="87"/>
  <c r="D56" i="87"/>
  <c r="B56" i="87"/>
  <c r="Z55" i="87"/>
  <c r="X55" i="87"/>
  <c r="N55" i="87"/>
  <c r="L55" i="87"/>
  <c r="F55" i="87"/>
  <c r="B55" i="87"/>
  <c r="T54" i="87"/>
  <c r="Z54" i="87" s="1"/>
  <c r="P54" i="87"/>
  <c r="H54" i="87"/>
  <c r="N54" i="87" s="1"/>
  <c r="F54" i="87"/>
  <c r="D54" i="87"/>
  <c r="L54" i="87" s="1"/>
  <c r="B54" i="87"/>
  <c r="Z53" i="87"/>
  <c r="X53" i="87"/>
  <c r="V53" i="87"/>
  <c r="N53" i="87"/>
  <c r="L53" i="87"/>
  <c r="B53" i="87"/>
  <c r="T52" i="87"/>
  <c r="P52" i="87"/>
  <c r="X52" i="87" s="1"/>
  <c r="Z52" i="87" s="1"/>
  <c r="H52" i="87"/>
  <c r="D52" i="87"/>
  <c r="L52" i="87" s="1"/>
  <c r="B52" i="87"/>
  <c r="Z51" i="87"/>
  <c r="X51" i="87"/>
  <c r="N51" i="87"/>
  <c r="L51" i="87"/>
  <c r="B51" i="87"/>
  <c r="Z50" i="87"/>
  <c r="X50" i="87"/>
  <c r="V50" i="87"/>
  <c r="T50" i="87"/>
  <c r="P50" i="87"/>
  <c r="L50" i="87"/>
  <c r="H50" i="87"/>
  <c r="N50" i="87" s="1"/>
  <c r="D50" i="87"/>
  <c r="B50" i="87"/>
  <c r="X49" i="87"/>
  <c r="Z49" i="87" s="1"/>
  <c r="V49" i="87"/>
  <c r="N49" i="87"/>
  <c r="L49" i="87"/>
  <c r="B49" i="87"/>
  <c r="Z48" i="87"/>
  <c r="X48" i="87"/>
  <c r="V48" i="87"/>
  <c r="N48" i="87"/>
  <c r="L48" i="87"/>
  <c r="B48" i="87"/>
  <c r="T47" i="87"/>
  <c r="P47" i="87"/>
  <c r="X47" i="87" s="1"/>
  <c r="Z47" i="87" s="1"/>
  <c r="N47" i="87"/>
  <c r="L47" i="87"/>
  <c r="H47" i="87"/>
  <c r="D47" i="87"/>
  <c r="B47" i="87"/>
  <c r="Z46" i="87"/>
  <c r="X46" i="87"/>
  <c r="N46" i="87"/>
  <c r="L46" i="87"/>
  <c r="B46" i="87"/>
  <c r="Z45" i="87"/>
  <c r="X45" i="87"/>
  <c r="V45" i="87"/>
  <c r="T45" i="87"/>
  <c r="P45" i="87"/>
  <c r="J45" i="87"/>
  <c r="H45" i="87"/>
  <c r="D45" i="87"/>
  <c r="B45" i="87"/>
  <c r="Z44" i="87"/>
  <c r="X44" i="87"/>
  <c r="N44" i="87"/>
  <c r="L44" i="87"/>
  <c r="F44" i="87"/>
  <c r="B44" i="87"/>
  <c r="Z43" i="87"/>
  <c r="T43" i="87"/>
  <c r="P43" i="87"/>
  <c r="X43" i="87" s="1"/>
  <c r="H43" i="87"/>
  <c r="N43" i="87" s="1"/>
  <c r="F43" i="87"/>
  <c r="D43" i="87"/>
  <c r="L43" i="87" s="1"/>
  <c r="B43" i="87"/>
  <c r="Z42" i="87"/>
  <c r="X42" i="87"/>
  <c r="N42" i="87"/>
  <c r="L42" i="87"/>
  <c r="B42" i="87"/>
  <c r="Z41" i="87"/>
  <c r="X41" i="87"/>
  <c r="V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F39" i="87"/>
  <c r="B39" i="87"/>
  <c r="Z38" i="87"/>
  <c r="X38" i="87"/>
  <c r="N38" i="87"/>
  <c r="L38" i="87"/>
  <c r="B38" i="87"/>
  <c r="Z37" i="87"/>
  <c r="X37" i="87"/>
  <c r="V37" i="87"/>
  <c r="N37" i="87"/>
  <c r="L37" i="87"/>
  <c r="B37" i="87"/>
  <c r="Z36" i="87"/>
  <c r="X36" i="87"/>
  <c r="V36" i="87"/>
  <c r="N36" i="87"/>
  <c r="L36" i="87"/>
  <c r="B36" i="87"/>
  <c r="Z35" i="87"/>
  <c r="X35" i="87"/>
  <c r="N35" i="87"/>
  <c r="L35" i="87"/>
  <c r="F35" i="87"/>
  <c r="B35" i="87"/>
  <c r="Z34" i="87"/>
  <c r="X34" i="87"/>
  <c r="N34" i="87"/>
  <c r="L34" i="87"/>
  <c r="B34" i="87"/>
  <c r="Z33" i="87"/>
  <c r="X33" i="87"/>
  <c r="V33" i="87"/>
  <c r="N33" i="87"/>
  <c r="L33" i="87"/>
  <c r="B33" i="87"/>
  <c r="V32" i="87"/>
  <c r="T32" i="87"/>
  <c r="Z32" i="87" s="1"/>
  <c r="P32" i="87"/>
  <c r="X32" i="87" s="1"/>
  <c r="H32" i="87"/>
  <c r="N32" i="87" s="1"/>
  <c r="D32" i="87"/>
  <c r="L32" i="87" s="1"/>
  <c r="B32" i="87"/>
  <c r="Z31" i="87"/>
  <c r="X31" i="87"/>
  <c r="V31" i="87"/>
  <c r="N31" i="87"/>
  <c r="L31" i="87"/>
  <c r="B31" i="87"/>
  <c r="Z30" i="87"/>
  <c r="X30" i="87"/>
  <c r="N30" i="87"/>
  <c r="L30" i="87"/>
  <c r="J30" i="87"/>
  <c r="B30" i="87"/>
  <c r="Z29" i="87"/>
  <c r="X29" i="87"/>
  <c r="V29" i="87"/>
  <c r="N29" i="87"/>
  <c r="L29" i="87"/>
  <c r="B29" i="87"/>
  <c r="Z28" i="87"/>
  <c r="X28" i="87"/>
  <c r="N28" i="87"/>
  <c r="L28" i="87"/>
  <c r="B28" i="87"/>
  <c r="Z27" i="87"/>
  <c r="X27" i="87"/>
  <c r="V27" i="87"/>
  <c r="N27" i="87"/>
  <c r="L27" i="87"/>
  <c r="B27" i="87"/>
  <c r="Z26" i="87"/>
  <c r="X26" i="87"/>
  <c r="N26" i="87"/>
  <c r="L26" i="87"/>
  <c r="J26" i="87"/>
  <c r="B26" i="87"/>
  <c r="Z25" i="87"/>
  <c r="X25" i="87"/>
  <c r="V25" i="87"/>
  <c r="N25" i="87"/>
  <c r="L25" i="87"/>
  <c r="B25" i="87"/>
  <c r="Z24" i="87"/>
  <c r="X24" i="87"/>
  <c r="N24" i="87"/>
  <c r="L24" i="87"/>
  <c r="B24" i="87"/>
  <c r="V23" i="87"/>
  <c r="T23" i="87"/>
  <c r="P23" i="87"/>
  <c r="N23" i="87"/>
  <c r="L23" i="87"/>
  <c r="H23" i="87"/>
  <c r="D23" i="87"/>
  <c r="B23" i="87"/>
  <c r="X22" i="87"/>
  <c r="V22" i="87"/>
  <c r="T22" i="87"/>
  <c r="Z22" i="87" s="1"/>
  <c r="P22" i="87"/>
  <c r="L22" i="87"/>
  <c r="H22" i="87"/>
  <c r="N22" i="87" s="1"/>
  <c r="D22" i="87"/>
  <c r="V20" i="87"/>
  <c r="T20" i="87"/>
  <c r="T91" i="87" s="1"/>
  <c r="Z18" i="87"/>
  <c r="X18" i="87"/>
  <c r="V18" i="87"/>
  <c r="N18" i="87"/>
  <c r="L18" i="87"/>
  <c r="F18" i="87"/>
  <c r="B18" i="87"/>
  <c r="Z17" i="87"/>
  <c r="X17" i="87"/>
  <c r="V17" i="87"/>
  <c r="N17" i="87"/>
  <c r="L17" i="87"/>
  <c r="B17" i="87"/>
  <c r="X16" i="87"/>
  <c r="V16" i="87"/>
  <c r="T16" i="87"/>
  <c r="Z16" i="87" s="1"/>
  <c r="P16" i="87"/>
  <c r="L16" i="87"/>
  <c r="J16" i="87"/>
  <c r="H16" i="87"/>
  <c r="N16" i="87" s="1"/>
  <c r="D16" i="87"/>
  <c r="Z14" i="87"/>
  <c r="X14" i="87"/>
  <c r="P14" i="87"/>
  <c r="N14" i="87"/>
  <c r="D14" i="87"/>
  <c r="L14" i="87" s="1"/>
  <c r="B14" i="87"/>
  <c r="Z13" i="87"/>
  <c r="X13" i="87"/>
  <c r="P13" i="87"/>
  <c r="P12" i="87" s="1"/>
  <c r="N13" i="87"/>
  <c r="L13" i="87"/>
  <c r="D13" i="87"/>
  <c r="B13" i="87"/>
  <c r="Z12" i="87"/>
  <c r="T12" i="87"/>
  <c r="V68" i="87" s="1"/>
  <c r="H12" i="87"/>
  <c r="J80" i="87" s="1"/>
  <c r="D12" i="87"/>
  <c r="F81" i="87" s="1"/>
  <c r="D6" i="87"/>
  <c r="D4" i="87"/>
  <c r="X30" i="85"/>
  <c r="Z30" i="85" s="1"/>
  <c r="V30" i="85"/>
  <c r="L30" i="85"/>
  <c r="N30" i="85" s="1"/>
  <c r="F30" i="85"/>
  <c r="T26" i="85"/>
  <c r="Z26" i="85" s="1"/>
  <c r="P26" i="85"/>
  <c r="X26" i="85" s="1"/>
  <c r="N26" i="85"/>
  <c r="H26" i="85"/>
  <c r="D26" i="85"/>
  <c r="L26" i="85" s="1"/>
  <c r="X24" i="85"/>
  <c r="Z24" i="85" s="1"/>
  <c r="L24" i="85"/>
  <c r="N24" i="85" s="1"/>
  <c r="J24" i="85"/>
  <c r="B24" i="85"/>
  <c r="Z23" i="85"/>
  <c r="X23" i="85"/>
  <c r="V23" i="85"/>
  <c r="T23" i="85"/>
  <c r="P23" i="85"/>
  <c r="H23" i="85"/>
  <c r="D23" i="85"/>
  <c r="B23" i="85"/>
  <c r="X22" i="85"/>
  <c r="T22" i="85"/>
  <c r="Z22" i="85" s="1"/>
  <c r="P22" i="85"/>
  <c r="L22" i="85"/>
  <c r="J22" i="85"/>
  <c r="H22" i="85"/>
  <c r="D22" i="85"/>
  <c r="J20" i="85"/>
  <c r="H20" i="85"/>
  <c r="H28" i="85" s="1"/>
  <c r="H32" i="85" s="1"/>
  <c r="Z18" i="85"/>
  <c r="X18" i="85"/>
  <c r="V18" i="85"/>
  <c r="N18" i="85"/>
  <c r="L18" i="85"/>
  <c r="J18" i="85"/>
  <c r="F18" i="85"/>
  <c r="B18" i="85"/>
  <c r="Z17" i="85"/>
  <c r="X17" i="85"/>
  <c r="V17" i="85"/>
  <c r="N17" i="85"/>
  <c r="L17" i="85"/>
  <c r="J17" i="85"/>
  <c r="B17" i="85"/>
  <c r="X16" i="85"/>
  <c r="V16" i="85"/>
  <c r="T16" i="85"/>
  <c r="T20" i="85" s="1"/>
  <c r="P16" i="85"/>
  <c r="L16" i="85"/>
  <c r="H16" i="85"/>
  <c r="D16" i="85"/>
  <c r="Z14" i="85"/>
  <c r="P14" i="85"/>
  <c r="P12" i="85" s="1"/>
  <c r="N14" i="85"/>
  <c r="D14" i="85"/>
  <c r="L14" i="85" s="1"/>
  <c r="B14" i="85"/>
  <c r="P13" i="85"/>
  <c r="X13" i="85" s="1"/>
  <c r="Z13" i="85" s="1"/>
  <c r="L13" i="85"/>
  <c r="N13" i="85" s="1"/>
  <c r="D13" i="85"/>
  <c r="D12" i="85" s="1"/>
  <c r="L12" i="85" s="1"/>
  <c r="N12" i="85" s="1"/>
  <c r="B13" i="85"/>
  <c r="T12" i="85"/>
  <c r="H12" i="85"/>
  <c r="J28" i="85" s="1"/>
  <c r="D6" i="85"/>
  <c r="D4" i="85"/>
  <c r="X123" i="84"/>
  <c r="Z123" i="84" s="1"/>
  <c r="L123" i="84"/>
  <c r="N123" i="84" s="1"/>
  <c r="T119" i="84"/>
  <c r="Z119" i="84" s="1"/>
  <c r="P119" i="84"/>
  <c r="X119" i="84" s="1"/>
  <c r="N119" i="84"/>
  <c r="H119" i="84"/>
  <c r="D119" i="84"/>
  <c r="L119" i="84" s="1"/>
  <c r="X117" i="84"/>
  <c r="Z117" i="84" s="1"/>
  <c r="L117" i="84"/>
  <c r="N117" i="84" s="1"/>
  <c r="B117" i="84"/>
  <c r="Z116" i="84"/>
  <c r="X116" i="84"/>
  <c r="T116" i="84"/>
  <c r="P116" i="84"/>
  <c r="H116" i="84"/>
  <c r="D116" i="84"/>
  <c r="B116" i="84"/>
  <c r="X115" i="84"/>
  <c r="Z115" i="84" s="1"/>
  <c r="L115" i="84"/>
  <c r="N115" i="84" s="1"/>
  <c r="B115" i="84"/>
  <c r="Z114" i="84"/>
  <c r="X114" i="84"/>
  <c r="N114" i="84"/>
  <c r="L114" i="84"/>
  <c r="B114" i="84"/>
  <c r="X113" i="84"/>
  <c r="T113" i="84"/>
  <c r="Z113" i="84" s="1"/>
  <c r="P113" i="84"/>
  <c r="L113" i="84"/>
  <c r="H113" i="84"/>
  <c r="N113" i="84" s="1"/>
  <c r="D113" i="84"/>
  <c r="B113" i="84"/>
  <c r="Z112" i="84"/>
  <c r="X112" i="84"/>
  <c r="N112" i="84"/>
  <c r="L112" i="84"/>
  <c r="B112" i="84"/>
  <c r="T111" i="84"/>
  <c r="Z111" i="84" s="1"/>
  <c r="P111" i="84"/>
  <c r="H111" i="84"/>
  <c r="D111" i="84"/>
  <c r="B111" i="84"/>
  <c r="Z110" i="84"/>
  <c r="X110" i="84"/>
  <c r="V110" i="84"/>
  <c r="N110" i="84"/>
  <c r="L110" i="84"/>
  <c r="B110" i="84"/>
  <c r="X109" i="84"/>
  <c r="Z109" i="84" s="1"/>
  <c r="L109" i="84"/>
  <c r="N109" i="84" s="1"/>
  <c r="B109" i="84"/>
  <c r="T108" i="84"/>
  <c r="X108" i="84" s="1"/>
  <c r="Z108" i="84" s="1"/>
  <c r="P108" i="84"/>
  <c r="H108" i="84"/>
  <c r="D108" i="84"/>
  <c r="B108" i="84"/>
  <c r="X107" i="84"/>
  <c r="Z107" i="84" s="1"/>
  <c r="L107" i="84"/>
  <c r="N107" i="84" s="1"/>
  <c r="B107" i="84"/>
  <c r="Z106" i="84"/>
  <c r="X106" i="84"/>
  <c r="N106" i="84"/>
  <c r="L106" i="84"/>
  <c r="B106" i="84"/>
  <c r="X105" i="84"/>
  <c r="Z105" i="84" s="1"/>
  <c r="L105" i="84"/>
  <c r="N105" i="84" s="1"/>
  <c r="B105" i="84"/>
  <c r="Z104" i="84"/>
  <c r="X104" i="84"/>
  <c r="L104" i="84"/>
  <c r="N104" i="84" s="1"/>
  <c r="B104" i="84"/>
  <c r="X103" i="84"/>
  <c r="Z103" i="84" s="1"/>
  <c r="L103" i="84"/>
  <c r="N103" i="84" s="1"/>
  <c r="B103" i="84"/>
  <c r="Z102" i="84"/>
  <c r="X102" i="84"/>
  <c r="N102" i="84"/>
  <c r="L102" i="84"/>
  <c r="B102" i="84"/>
  <c r="X101" i="84"/>
  <c r="T101" i="84"/>
  <c r="Z101" i="84" s="1"/>
  <c r="P101" i="84"/>
  <c r="L101" i="84"/>
  <c r="H101" i="84"/>
  <c r="D101" i="84"/>
  <c r="B101" i="84"/>
  <c r="Z100" i="84"/>
  <c r="X100" i="84"/>
  <c r="N100" i="84"/>
  <c r="L100" i="84"/>
  <c r="B100" i="84"/>
  <c r="X99" i="84"/>
  <c r="Z99" i="84" s="1"/>
  <c r="N99" i="84"/>
  <c r="L99" i="84"/>
  <c r="B99" i="84"/>
  <c r="Z98" i="84"/>
  <c r="T98" i="84"/>
  <c r="P98" i="84"/>
  <c r="X98" i="84" s="1"/>
  <c r="N98" i="84"/>
  <c r="L98" i="84"/>
  <c r="H98" i="84"/>
  <c r="D98" i="84"/>
  <c r="B98" i="84"/>
  <c r="X97" i="84"/>
  <c r="Z97" i="84" s="1"/>
  <c r="L97" i="84"/>
  <c r="N97" i="84" s="1"/>
  <c r="B97" i="84"/>
  <c r="Z96" i="84"/>
  <c r="X96" i="84"/>
  <c r="N96" i="84"/>
  <c r="L96" i="84"/>
  <c r="B96" i="84"/>
  <c r="Z95" i="84"/>
  <c r="X95" i="84"/>
  <c r="N95" i="84"/>
  <c r="L95" i="84"/>
  <c r="B95" i="84"/>
  <c r="T94" i="84"/>
  <c r="X94" i="84" s="1"/>
  <c r="P94" i="84"/>
  <c r="H94" i="84"/>
  <c r="L94" i="84" s="1"/>
  <c r="N94" i="84" s="1"/>
  <c r="D94" i="84"/>
  <c r="B94" i="84"/>
  <c r="X93" i="84"/>
  <c r="Z93" i="84" s="1"/>
  <c r="L93" i="84"/>
  <c r="N93" i="84" s="1"/>
  <c r="B93" i="84"/>
  <c r="Z92" i="84"/>
  <c r="X92" i="84"/>
  <c r="N92" i="84"/>
  <c r="L92" i="84"/>
  <c r="B92" i="84"/>
  <c r="Z91" i="84"/>
  <c r="X91" i="84"/>
  <c r="N91" i="84"/>
  <c r="L91" i="84"/>
  <c r="B91" i="84"/>
  <c r="Z90" i="84"/>
  <c r="T90" i="84"/>
  <c r="P90" i="84"/>
  <c r="X90" i="84" s="1"/>
  <c r="H90" i="84"/>
  <c r="D90" i="84"/>
  <c r="L90" i="84" s="1"/>
  <c r="N90" i="84" s="1"/>
  <c r="B90" i="84"/>
  <c r="X89" i="84"/>
  <c r="Z89" i="84" s="1"/>
  <c r="L89" i="84"/>
  <c r="N89" i="84" s="1"/>
  <c r="B89" i="84"/>
  <c r="X88" i="84"/>
  <c r="Z88" i="84" s="1"/>
  <c r="T88" i="84"/>
  <c r="P88" i="84"/>
  <c r="H88" i="84"/>
  <c r="D88" i="84"/>
  <c r="L88" i="84" s="1"/>
  <c r="N88" i="84" s="1"/>
  <c r="B88" i="84"/>
  <c r="X87" i="84"/>
  <c r="Z87" i="84" s="1"/>
  <c r="N87" i="84"/>
  <c r="L87" i="84"/>
  <c r="B87" i="84"/>
  <c r="X86" i="84"/>
  <c r="V86" i="84"/>
  <c r="T86" i="84"/>
  <c r="P86" i="84"/>
  <c r="N86" i="84"/>
  <c r="H86" i="84"/>
  <c r="L86" i="84" s="1"/>
  <c r="D86" i="84"/>
  <c r="B86" i="84"/>
  <c r="X85" i="84"/>
  <c r="Z85" i="84" s="1"/>
  <c r="V85" i="84"/>
  <c r="L85" i="84"/>
  <c r="N85" i="84" s="1"/>
  <c r="B85" i="84"/>
  <c r="T84" i="84"/>
  <c r="P84" i="84"/>
  <c r="X84" i="84" s="1"/>
  <c r="Z84" i="84" s="1"/>
  <c r="N84" i="84"/>
  <c r="H84" i="84"/>
  <c r="D84" i="84"/>
  <c r="L84" i="84" s="1"/>
  <c r="B84" i="84"/>
  <c r="X83" i="84"/>
  <c r="Z83" i="84" s="1"/>
  <c r="N83" i="84"/>
  <c r="L83" i="84"/>
  <c r="B83" i="84"/>
  <c r="Z82" i="84"/>
  <c r="V82" i="84"/>
  <c r="T82" i="84"/>
  <c r="P82" i="84"/>
  <c r="X82" i="84" s="1"/>
  <c r="N82" i="84"/>
  <c r="L82" i="84"/>
  <c r="H82" i="84"/>
  <c r="D82" i="84"/>
  <c r="B82" i="84"/>
  <c r="X81" i="84"/>
  <c r="Z81" i="84" s="1"/>
  <c r="N81" i="84"/>
  <c r="L81" i="84"/>
  <c r="B81" i="84"/>
  <c r="Z80" i="84"/>
  <c r="X80" i="84"/>
  <c r="N80" i="84"/>
  <c r="L80" i="84"/>
  <c r="B80" i="84"/>
  <c r="T79" i="84"/>
  <c r="Z79" i="84" s="1"/>
  <c r="P79" i="84"/>
  <c r="X79" i="84" s="1"/>
  <c r="H79" i="84"/>
  <c r="N79" i="84" s="1"/>
  <c r="D79" i="84"/>
  <c r="L79" i="84" s="1"/>
  <c r="B79" i="84"/>
  <c r="Z78" i="84"/>
  <c r="X78" i="84"/>
  <c r="N78" i="84"/>
  <c r="L78" i="84"/>
  <c r="B78" i="84"/>
  <c r="T77" i="84"/>
  <c r="P77" i="84"/>
  <c r="X77" i="84" s="1"/>
  <c r="L77" i="84"/>
  <c r="H77" i="84"/>
  <c r="D77" i="84"/>
  <c r="B77" i="84"/>
  <c r="Z76" i="84"/>
  <c r="X76" i="84"/>
  <c r="N76" i="84"/>
  <c r="L76" i="84"/>
  <c r="B76" i="84"/>
  <c r="T75" i="84"/>
  <c r="P75" i="84"/>
  <c r="H75" i="84"/>
  <c r="N75" i="84" s="1"/>
  <c r="D75" i="84"/>
  <c r="L75" i="84" s="1"/>
  <c r="B75" i="84"/>
  <c r="Z74" i="84"/>
  <c r="X74" i="84"/>
  <c r="N74" i="84"/>
  <c r="L74" i="84"/>
  <c r="B74" i="84"/>
  <c r="T73" i="84"/>
  <c r="P73" i="84"/>
  <c r="X73" i="84" s="1"/>
  <c r="H73" i="84"/>
  <c r="D73" i="84"/>
  <c r="L73" i="84" s="1"/>
  <c r="B73" i="84"/>
  <c r="Z72" i="84"/>
  <c r="X72" i="84"/>
  <c r="N72" i="84"/>
  <c r="L72" i="84"/>
  <c r="B72" i="84"/>
  <c r="T71" i="84"/>
  <c r="P71" i="84"/>
  <c r="X71" i="84" s="1"/>
  <c r="H71" i="84"/>
  <c r="D71" i="84"/>
  <c r="L71" i="84" s="1"/>
  <c r="N71" i="84" s="1"/>
  <c r="B71" i="84"/>
  <c r="X70" i="84"/>
  <c r="Z70" i="84" s="1"/>
  <c r="N70" i="84"/>
  <c r="L70" i="84"/>
  <c r="B70" i="84"/>
  <c r="T69" i="84"/>
  <c r="P69" i="84"/>
  <c r="X69" i="84" s="1"/>
  <c r="H69" i="84"/>
  <c r="D69" i="84"/>
  <c r="L69" i="84" s="1"/>
  <c r="B69" i="84"/>
  <c r="Z68" i="84"/>
  <c r="X68" i="84"/>
  <c r="N68" i="84"/>
  <c r="L68" i="84"/>
  <c r="B68" i="84"/>
  <c r="T67" i="84"/>
  <c r="P67" i="84"/>
  <c r="H67" i="84"/>
  <c r="D67" i="84"/>
  <c r="L67" i="84" s="1"/>
  <c r="B67" i="84"/>
  <c r="Z66" i="84"/>
  <c r="X66" i="84"/>
  <c r="N66" i="84"/>
  <c r="L66" i="84"/>
  <c r="B66" i="84"/>
  <c r="Z65" i="84"/>
  <c r="X65" i="84"/>
  <c r="N65" i="84"/>
  <c r="L65" i="84"/>
  <c r="B65" i="84"/>
  <c r="Z64" i="84"/>
  <c r="X64" i="84"/>
  <c r="N64" i="84"/>
  <c r="L64" i="84"/>
  <c r="B64" i="84"/>
  <c r="Z63" i="84"/>
  <c r="X63" i="84"/>
  <c r="V63" i="84"/>
  <c r="N63" i="84"/>
  <c r="L63" i="84"/>
  <c r="B63" i="84"/>
  <c r="Z62" i="84"/>
  <c r="X62" i="84"/>
  <c r="N62" i="84"/>
  <c r="L62" i="84"/>
  <c r="B62" i="84"/>
  <c r="Z61" i="84"/>
  <c r="X61" i="84"/>
  <c r="N61" i="84"/>
  <c r="L61" i="84"/>
  <c r="B61" i="84"/>
  <c r="Z60" i="84"/>
  <c r="X60" i="84"/>
  <c r="L60" i="84"/>
  <c r="N60" i="84" s="1"/>
  <c r="B60" i="84"/>
  <c r="Z59" i="84"/>
  <c r="X59" i="84"/>
  <c r="N59" i="84"/>
  <c r="L59" i="84"/>
  <c r="B59" i="84"/>
  <c r="Z58" i="84"/>
  <c r="X58" i="84"/>
  <c r="L58" i="84"/>
  <c r="N58" i="84" s="1"/>
  <c r="B58" i="84"/>
  <c r="Z57" i="84"/>
  <c r="X57" i="84"/>
  <c r="N57" i="84"/>
  <c r="L57" i="84"/>
  <c r="B57" i="84"/>
  <c r="X56" i="84"/>
  <c r="V56" i="84"/>
  <c r="T56" i="84"/>
  <c r="P56" i="84"/>
  <c r="H56" i="84"/>
  <c r="D56" i="84"/>
  <c r="L56" i="84" s="1"/>
  <c r="N56" i="84" s="1"/>
  <c r="B56" i="84"/>
  <c r="Z55" i="84"/>
  <c r="X55" i="84"/>
  <c r="L55" i="84"/>
  <c r="N55" i="84" s="1"/>
  <c r="B55" i="84"/>
  <c r="X54" i="84"/>
  <c r="Z54" i="84" s="1"/>
  <c r="N54" i="84"/>
  <c r="L54" i="84"/>
  <c r="B54" i="84"/>
  <c r="Z53" i="84"/>
  <c r="X53" i="84"/>
  <c r="N53" i="84"/>
  <c r="L53" i="84"/>
  <c r="B53" i="84"/>
  <c r="Z52" i="84"/>
  <c r="X52" i="84"/>
  <c r="V52" i="84"/>
  <c r="N52" i="84"/>
  <c r="L52" i="84"/>
  <c r="B52" i="84"/>
  <c r="X51" i="84"/>
  <c r="Z51" i="84" s="1"/>
  <c r="L51" i="84"/>
  <c r="N51" i="84" s="1"/>
  <c r="B51" i="84"/>
  <c r="X50" i="84"/>
  <c r="Z50" i="84" s="1"/>
  <c r="N50" i="84"/>
  <c r="L50" i="84"/>
  <c r="B50" i="84"/>
  <c r="Z49" i="84"/>
  <c r="X49" i="84"/>
  <c r="N49" i="84"/>
  <c r="L49" i="84"/>
  <c r="J49" i="84"/>
  <c r="B49" i="84"/>
  <c r="Z48" i="84"/>
  <c r="X48" i="84"/>
  <c r="V48" i="84"/>
  <c r="L48" i="84"/>
  <c r="N48" i="84" s="1"/>
  <c r="B48" i="84"/>
  <c r="Z47" i="84"/>
  <c r="X47" i="84"/>
  <c r="L47" i="84"/>
  <c r="N47" i="84" s="1"/>
  <c r="B47" i="84"/>
  <c r="T46" i="84"/>
  <c r="P46" i="84"/>
  <c r="H46" i="84"/>
  <c r="N46" i="84" s="1"/>
  <c r="D46" i="84"/>
  <c r="L46" i="84" s="1"/>
  <c r="B46" i="84"/>
  <c r="V45" i="84"/>
  <c r="T45" i="84"/>
  <c r="P45" i="84"/>
  <c r="L45" i="84"/>
  <c r="H45" i="84"/>
  <c r="N45" i="84" s="1"/>
  <c r="D45" i="84"/>
  <c r="T43" i="84"/>
  <c r="Z41" i="84"/>
  <c r="X41" i="84"/>
  <c r="V41" i="84"/>
  <c r="N41" i="84"/>
  <c r="L41" i="84"/>
  <c r="B41" i="84"/>
  <c r="Z40" i="84"/>
  <c r="X40" i="84"/>
  <c r="N40" i="84"/>
  <c r="L40" i="84"/>
  <c r="J40" i="84"/>
  <c r="B40" i="84"/>
  <c r="Z39" i="84"/>
  <c r="X39" i="84"/>
  <c r="N39" i="84"/>
  <c r="L39" i="84"/>
  <c r="B39" i="84"/>
  <c r="Z38" i="84"/>
  <c r="X38" i="84"/>
  <c r="N38" i="84"/>
  <c r="L38" i="84"/>
  <c r="B38" i="84"/>
  <c r="Z37" i="84"/>
  <c r="X37" i="84"/>
  <c r="V37" i="84"/>
  <c r="N37" i="84"/>
  <c r="L37" i="84"/>
  <c r="B37" i="84"/>
  <c r="Z36" i="84"/>
  <c r="X36" i="84"/>
  <c r="L36" i="84"/>
  <c r="N36" i="84" s="1"/>
  <c r="J36" i="84"/>
  <c r="B36" i="84"/>
  <c r="X35" i="84"/>
  <c r="T35" i="84"/>
  <c r="Z35" i="84" s="1"/>
  <c r="P35" i="84"/>
  <c r="H35" i="84"/>
  <c r="D35" i="84"/>
  <c r="L35" i="84" s="1"/>
  <c r="Z33" i="84"/>
  <c r="X33" i="84"/>
  <c r="P33" i="84"/>
  <c r="N33" i="84"/>
  <c r="D33" i="84"/>
  <c r="L33" i="84" s="1"/>
  <c r="B33" i="84"/>
  <c r="Z32" i="84"/>
  <c r="X32" i="84"/>
  <c r="P32" i="84"/>
  <c r="N32" i="84"/>
  <c r="L32" i="84"/>
  <c r="D32" i="84"/>
  <c r="B32" i="84"/>
  <c r="Z31" i="84"/>
  <c r="X31" i="84"/>
  <c r="P31" i="84"/>
  <c r="N31" i="84"/>
  <c r="L31" i="84"/>
  <c r="D31" i="84"/>
  <c r="B31" i="84"/>
  <c r="Z30" i="84"/>
  <c r="P30" i="84"/>
  <c r="X30" i="84" s="1"/>
  <c r="N30" i="84"/>
  <c r="L30" i="84"/>
  <c r="D30" i="84"/>
  <c r="B30" i="84"/>
  <c r="Z29" i="84"/>
  <c r="X29" i="84"/>
  <c r="P29" i="84"/>
  <c r="N29" i="84"/>
  <c r="L29" i="84"/>
  <c r="D29" i="84"/>
  <c r="B29" i="84"/>
  <c r="Z28" i="84"/>
  <c r="P28" i="84"/>
  <c r="X28" i="84" s="1"/>
  <c r="N28" i="84"/>
  <c r="L28" i="84"/>
  <c r="D28" i="84"/>
  <c r="B28" i="84"/>
  <c r="Z27" i="84"/>
  <c r="P27" i="84"/>
  <c r="X27" i="84" s="1"/>
  <c r="N27" i="84"/>
  <c r="L27" i="84"/>
  <c r="D27" i="84"/>
  <c r="B27" i="84"/>
  <c r="Z26" i="84"/>
  <c r="P26" i="84"/>
  <c r="X26" i="84" s="1"/>
  <c r="N26" i="84"/>
  <c r="L26" i="84"/>
  <c r="D26" i="84"/>
  <c r="B26" i="84"/>
  <c r="Z25" i="84"/>
  <c r="X25" i="84"/>
  <c r="P25" i="84"/>
  <c r="N25" i="84"/>
  <c r="D25" i="84"/>
  <c r="L25" i="84" s="1"/>
  <c r="B25" i="84"/>
  <c r="Z24" i="84"/>
  <c r="P24" i="84"/>
  <c r="X24" i="84" s="1"/>
  <c r="N24" i="84"/>
  <c r="D24" i="84"/>
  <c r="L24" i="84" s="1"/>
  <c r="B24" i="84"/>
  <c r="Z23" i="84"/>
  <c r="X23" i="84"/>
  <c r="P23" i="84"/>
  <c r="N23" i="84"/>
  <c r="D23" i="84"/>
  <c r="L23" i="84" s="1"/>
  <c r="B23" i="84"/>
  <c r="Z22" i="84"/>
  <c r="X22" i="84"/>
  <c r="P22" i="84"/>
  <c r="N22" i="84"/>
  <c r="L22" i="84"/>
  <c r="D22" i="84"/>
  <c r="B22" i="84"/>
  <c r="Z21" i="84"/>
  <c r="X21" i="84"/>
  <c r="P21" i="84"/>
  <c r="N21" i="84"/>
  <c r="D21" i="84"/>
  <c r="L21" i="84" s="1"/>
  <c r="B21" i="84"/>
  <c r="Z20" i="84"/>
  <c r="P20" i="84"/>
  <c r="X20" i="84" s="1"/>
  <c r="N20" i="84"/>
  <c r="L20" i="84"/>
  <c r="D20" i="84"/>
  <c r="B20" i="84"/>
  <c r="Z19" i="84"/>
  <c r="X19" i="84"/>
  <c r="P19" i="84"/>
  <c r="N19" i="84"/>
  <c r="L19" i="84"/>
  <c r="D19" i="84"/>
  <c r="B19" i="84"/>
  <c r="Z18" i="84"/>
  <c r="P18" i="84"/>
  <c r="X18" i="84" s="1"/>
  <c r="N18" i="84"/>
  <c r="L18" i="84"/>
  <c r="D18" i="84"/>
  <c r="B18" i="84"/>
  <c r="Z17" i="84"/>
  <c r="X17" i="84"/>
  <c r="P17" i="84"/>
  <c r="N17" i="84"/>
  <c r="D17" i="84"/>
  <c r="L17" i="84" s="1"/>
  <c r="B17" i="84"/>
  <c r="Z16" i="84"/>
  <c r="P16" i="84"/>
  <c r="X16" i="84" s="1"/>
  <c r="N16" i="84"/>
  <c r="L16" i="84"/>
  <c r="D16" i="84"/>
  <c r="B16" i="84"/>
  <c r="Z15" i="84"/>
  <c r="P15" i="84"/>
  <c r="X15" i="84" s="1"/>
  <c r="N15" i="84"/>
  <c r="L15" i="84"/>
  <c r="D15" i="84"/>
  <c r="B15" i="84"/>
  <c r="Z14" i="84"/>
  <c r="P14" i="84"/>
  <c r="X14" i="84" s="1"/>
  <c r="N14" i="84"/>
  <c r="L14" i="84"/>
  <c r="D14" i="84"/>
  <c r="B14" i="84"/>
  <c r="Z13" i="84"/>
  <c r="X13" i="84"/>
  <c r="P13" i="84"/>
  <c r="D13" i="84"/>
  <c r="L13" i="84" s="1"/>
  <c r="N13" i="84" s="1"/>
  <c r="B13" i="84"/>
  <c r="T12" i="84"/>
  <c r="V108" i="84" s="1"/>
  <c r="H12" i="84"/>
  <c r="J108" i="84" s="1"/>
  <c r="D6" i="84"/>
  <c r="D4" i="84"/>
  <c r="Z92" i="83"/>
  <c r="X92" i="83"/>
  <c r="N92" i="83"/>
  <c r="L92" i="83"/>
  <c r="Z88" i="83"/>
  <c r="X88" i="83"/>
  <c r="T88" i="83"/>
  <c r="P88" i="83"/>
  <c r="N88" i="83"/>
  <c r="H88" i="83"/>
  <c r="D88" i="83"/>
  <c r="L88" i="83" s="1"/>
  <c r="Z86" i="83"/>
  <c r="X86" i="83"/>
  <c r="N86" i="83"/>
  <c r="L86" i="83"/>
  <c r="B86" i="83"/>
  <c r="T85" i="83"/>
  <c r="P85" i="83"/>
  <c r="X85" i="83" s="1"/>
  <c r="L85" i="83"/>
  <c r="H85" i="83"/>
  <c r="N85" i="83" s="1"/>
  <c r="D85" i="83"/>
  <c r="B85" i="83"/>
  <c r="X84" i="83"/>
  <c r="Z84" i="83" s="1"/>
  <c r="V84" i="83"/>
  <c r="N84" i="83"/>
  <c r="L84" i="83"/>
  <c r="B84" i="83"/>
  <c r="T83" i="83"/>
  <c r="P83" i="83"/>
  <c r="X83" i="83" s="1"/>
  <c r="H83" i="83"/>
  <c r="L83" i="83" s="1"/>
  <c r="D83" i="83"/>
  <c r="B83" i="83"/>
  <c r="Z82" i="83"/>
  <c r="X82" i="83"/>
  <c r="N82" i="83"/>
  <c r="L82" i="83"/>
  <c r="B82" i="83"/>
  <c r="X81" i="83"/>
  <c r="Z81" i="83" s="1"/>
  <c r="N81" i="83"/>
  <c r="L81" i="83"/>
  <c r="J81" i="83"/>
  <c r="B81" i="83"/>
  <c r="V80" i="83"/>
  <c r="T80" i="83"/>
  <c r="P80" i="83"/>
  <c r="X80" i="83" s="1"/>
  <c r="Z80" i="83" s="1"/>
  <c r="H80" i="83"/>
  <c r="D80" i="83"/>
  <c r="B80" i="83"/>
  <c r="X79" i="83"/>
  <c r="Z79" i="83" s="1"/>
  <c r="L79" i="83"/>
  <c r="N79" i="83" s="1"/>
  <c r="B79" i="83"/>
  <c r="Z78" i="83"/>
  <c r="X78" i="83"/>
  <c r="N78" i="83"/>
  <c r="L78" i="83"/>
  <c r="B78" i="83"/>
  <c r="Z77" i="83"/>
  <c r="X77" i="83"/>
  <c r="V77" i="83"/>
  <c r="N77" i="83"/>
  <c r="L77" i="83"/>
  <c r="B77" i="83"/>
  <c r="Z76" i="83"/>
  <c r="X76" i="83"/>
  <c r="L76" i="83"/>
  <c r="N76" i="83" s="1"/>
  <c r="J76" i="83"/>
  <c r="B76" i="83"/>
  <c r="X75" i="83"/>
  <c r="Z75" i="83" s="1"/>
  <c r="N75" i="83"/>
  <c r="L75" i="83"/>
  <c r="B75" i="83"/>
  <c r="Z74" i="83"/>
  <c r="X74" i="83"/>
  <c r="T74" i="83"/>
  <c r="P74" i="83"/>
  <c r="H74" i="83"/>
  <c r="D74" i="83"/>
  <c r="L74" i="83" s="1"/>
  <c r="N74" i="83" s="1"/>
  <c r="B74" i="83"/>
  <c r="Z73" i="83"/>
  <c r="X73" i="83"/>
  <c r="L73" i="83"/>
  <c r="N73" i="83" s="1"/>
  <c r="B73" i="83"/>
  <c r="X72" i="83"/>
  <c r="V72" i="83"/>
  <c r="T72" i="83"/>
  <c r="Z72" i="83" s="1"/>
  <c r="P72" i="83"/>
  <c r="H72" i="83"/>
  <c r="D72" i="83"/>
  <c r="L72" i="83" s="1"/>
  <c r="N72" i="83" s="1"/>
  <c r="B72" i="83"/>
  <c r="X71" i="83"/>
  <c r="Z71" i="83" s="1"/>
  <c r="L71" i="83"/>
  <c r="N71" i="83" s="1"/>
  <c r="B71" i="83"/>
  <c r="Z70" i="83"/>
  <c r="X70" i="83"/>
  <c r="N70" i="83"/>
  <c r="L70" i="83"/>
  <c r="B70" i="83"/>
  <c r="X69" i="83"/>
  <c r="Z69" i="83" s="1"/>
  <c r="N69" i="83"/>
  <c r="L69" i="83"/>
  <c r="J69" i="83"/>
  <c r="B69" i="83"/>
  <c r="V68" i="83"/>
  <c r="T68" i="83"/>
  <c r="P68" i="83"/>
  <c r="X68" i="83" s="1"/>
  <c r="Z68" i="83" s="1"/>
  <c r="H68" i="83"/>
  <c r="F68" i="83"/>
  <c r="D68" i="83"/>
  <c r="B68" i="83"/>
  <c r="X67" i="83"/>
  <c r="Z67" i="83" s="1"/>
  <c r="N67" i="83"/>
  <c r="L67" i="83"/>
  <c r="B67" i="83"/>
  <c r="Z66" i="83"/>
  <c r="X66" i="83"/>
  <c r="N66" i="83"/>
  <c r="L66" i="83"/>
  <c r="B66" i="83"/>
  <c r="Z65" i="83"/>
  <c r="X65" i="83"/>
  <c r="V65" i="83"/>
  <c r="N65" i="83"/>
  <c r="L65" i="83"/>
  <c r="B65" i="83"/>
  <c r="Z64" i="83"/>
  <c r="X64" i="83"/>
  <c r="N64" i="83"/>
  <c r="L64" i="83"/>
  <c r="J64" i="83"/>
  <c r="B64" i="83"/>
  <c r="X63" i="83"/>
  <c r="T63" i="83"/>
  <c r="Z63" i="83" s="1"/>
  <c r="P63" i="83"/>
  <c r="H63" i="83"/>
  <c r="N63" i="83" s="1"/>
  <c r="D63" i="83"/>
  <c r="B63" i="83"/>
  <c r="Z62" i="83"/>
  <c r="X62" i="83"/>
  <c r="N62" i="83"/>
  <c r="L62" i="83"/>
  <c r="F62" i="83"/>
  <c r="B62" i="83"/>
  <c r="T61" i="83"/>
  <c r="X61" i="83" s="1"/>
  <c r="P61" i="83"/>
  <c r="H61" i="83"/>
  <c r="F61" i="83"/>
  <c r="D61" i="83"/>
  <c r="L61" i="83" s="1"/>
  <c r="N61" i="83" s="1"/>
  <c r="B61" i="83"/>
  <c r="Z60" i="83"/>
  <c r="X60" i="83"/>
  <c r="V60" i="83"/>
  <c r="N60" i="83"/>
  <c r="L60" i="83"/>
  <c r="B60" i="83"/>
  <c r="Z59" i="83"/>
  <c r="X59" i="83"/>
  <c r="T59" i="83"/>
  <c r="P59" i="83"/>
  <c r="H59" i="83"/>
  <c r="D59" i="83"/>
  <c r="B59" i="83"/>
  <c r="Z58" i="83"/>
  <c r="X58" i="83"/>
  <c r="N58" i="83"/>
  <c r="L58" i="83"/>
  <c r="B58" i="83"/>
  <c r="V57" i="83"/>
  <c r="T57" i="83"/>
  <c r="P57" i="83"/>
  <c r="X57" i="83" s="1"/>
  <c r="L57" i="83"/>
  <c r="H57" i="83"/>
  <c r="N57" i="83" s="1"/>
  <c r="D57" i="83"/>
  <c r="B57" i="83"/>
  <c r="X56" i="83"/>
  <c r="Z56" i="83" s="1"/>
  <c r="V56" i="83"/>
  <c r="N56" i="83"/>
  <c r="L56" i="83"/>
  <c r="J56" i="83"/>
  <c r="B56" i="83"/>
  <c r="T55" i="83"/>
  <c r="P55" i="83"/>
  <c r="X55" i="83" s="1"/>
  <c r="Z55" i="83" s="1"/>
  <c r="H55" i="83"/>
  <c r="L55" i="83" s="1"/>
  <c r="D55" i="83"/>
  <c r="B55" i="83"/>
  <c r="Z54" i="83"/>
  <c r="X54" i="83"/>
  <c r="R54" i="83"/>
  <c r="N54" i="83"/>
  <c r="L54" i="83"/>
  <c r="B54" i="83"/>
  <c r="T53" i="83"/>
  <c r="P53" i="83"/>
  <c r="N53" i="83"/>
  <c r="L53" i="83"/>
  <c r="H53" i="83"/>
  <c r="D53" i="83"/>
  <c r="B53" i="83"/>
  <c r="Z52" i="83"/>
  <c r="X52" i="83"/>
  <c r="L52" i="83"/>
  <c r="N52" i="83" s="1"/>
  <c r="J52" i="83"/>
  <c r="B52" i="83"/>
  <c r="Z51" i="83"/>
  <c r="X51" i="83"/>
  <c r="N51" i="83"/>
  <c r="L51" i="83"/>
  <c r="B51" i="83"/>
  <c r="Z50" i="83"/>
  <c r="X50" i="83"/>
  <c r="T50" i="83"/>
  <c r="R50" i="83"/>
  <c r="P50" i="83"/>
  <c r="H50" i="83"/>
  <c r="D50" i="83"/>
  <c r="L50" i="83" s="1"/>
  <c r="N50" i="83" s="1"/>
  <c r="B50" i="83"/>
  <c r="Z49" i="83"/>
  <c r="X49" i="83"/>
  <c r="L49" i="83"/>
  <c r="N49" i="83" s="1"/>
  <c r="B49" i="83"/>
  <c r="X48" i="83"/>
  <c r="V48" i="83"/>
  <c r="T48" i="83"/>
  <c r="Z48" i="83" s="1"/>
  <c r="P48" i="83"/>
  <c r="N48" i="83"/>
  <c r="L48" i="83"/>
  <c r="H48" i="83"/>
  <c r="D48" i="83"/>
  <c r="B48" i="83"/>
  <c r="X47" i="83"/>
  <c r="Z47" i="83" s="1"/>
  <c r="L47" i="83"/>
  <c r="N47" i="83" s="1"/>
  <c r="B47" i="83"/>
  <c r="T46" i="83"/>
  <c r="R46" i="83"/>
  <c r="P46" i="83"/>
  <c r="X46" i="83" s="1"/>
  <c r="J46" i="83"/>
  <c r="H46" i="83"/>
  <c r="D46" i="83"/>
  <c r="L46" i="83" s="1"/>
  <c r="N46" i="83" s="1"/>
  <c r="B46" i="83"/>
  <c r="Z45" i="83"/>
  <c r="X45" i="83"/>
  <c r="V45" i="83"/>
  <c r="N45" i="83"/>
  <c r="L45" i="83"/>
  <c r="F45" i="83"/>
  <c r="B45" i="83"/>
  <c r="T44" i="83"/>
  <c r="P44" i="83"/>
  <c r="X44" i="83" s="1"/>
  <c r="Z44" i="83" s="1"/>
  <c r="N44" i="83"/>
  <c r="L44" i="83"/>
  <c r="H44" i="83"/>
  <c r="F44" i="83"/>
  <c r="D44" i="83"/>
  <c r="B44" i="83"/>
  <c r="Z43" i="83"/>
  <c r="X43" i="83"/>
  <c r="N43" i="83"/>
  <c r="L43" i="83"/>
  <c r="B43" i="83"/>
  <c r="Z42" i="83"/>
  <c r="X42" i="83"/>
  <c r="N42" i="83"/>
  <c r="L42" i="83"/>
  <c r="F42" i="83"/>
  <c r="B42" i="83"/>
  <c r="Z41" i="83"/>
  <c r="X41" i="83"/>
  <c r="L41" i="83"/>
  <c r="N41" i="83" s="1"/>
  <c r="B41" i="83"/>
  <c r="X40" i="83"/>
  <c r="Z40" i="83" s="1"/>
  <c r="V40" i="83"/>
  <c r="N40" i="83"/>
  <c r="L40" i="83"/>
  <c r="J40" i="83"/>
  <c r="B40" i="83"/>
  <c r="Z39" i="83"/>
  <c r="X39" i="83"/>
  <c r="N39" i="83"/>
  <c r="L39" i="83"/>
  <c r="B39" i="83"/>
  <c r="Z38" i="83"/>
  <c r="X38" i="83"/>
  <c r="N38" i="83"/>
  <c r="L38" i="83"/>
  <c r="B38" i="83"/>
  <c r="Z37" i="83"/>
  <c r="X37" i="83"/>
  <c r="N37" i="83"/>
  <c r="L37" i="83"/>
  <c r="B37" i="83"/>
  <c r="Z36" i="83"/>
  <c r="X36" i="83"/>
  <c r="V36" i="83"/>
  <c r="N36" i="83"/>
  <c r="L36" i="83"/>
  <c r="J36" i="83"/>
  <c r="B36" i="83"/>
  <c r="X35" i="83"/>
  <c r="Z35" i="83" s="1"/>
  <c r="L35" i="83"/>
  <c r="N35" i="83" s="1"/>
  <c r="B35" i="83"/>
  <c r="Z34" i="83"/>
  <c r="X34" i="83"/>
  <c r="V34" i="83"/>
  <c r="N34" i="83"/>
  <c r="L34" i="83"/>
  <c r="B34" i="83"/>
  <c r="T33" i="83"/>
  <c r="P33" i="83"/>
  <c r="X33" i="83" s="1"/>
  <c r="H33" i="83"/>
  <c r="F33" i="83"/>
  <c r="D33" i="83"/>
  <c r="L33" i="83" s="1"/>
  <c r="N33" i="83" s="1"/>
  <c r="B33" i="83"/>
  <c r="Z32" i="83"/>
  <c r="X32" i="83"/>
  <c r="V32" i="83"/>
  <c r="N32" i="83"/>
  <c r="L32" i="83"/>
  <c r="B32" i="83"/>
  <c r="X31" i="83"/>
  <c r="Z31" i="83" s="1"/>
  <c r="V31" i="83"/>
  <c r="L31" i="83"/>
  <c r="N31" i="83" s="1"/>
  <c r="B31" i="83"/>
  <c r="Z30" i="83"/>
  <c r="X30" i="83"/>
  <c r="N30" i="83"/>
  <c r="L30" i="83"/>
  <c r="B30" i="83"/>
  <c r="X29" i="83"/>
  <c r="Z29" i="83" s="1"/>
  <c r="N29" i="83"/>
  <c r="L29" i="83"/>
  <c r="J29" i="83"/>
  <c r="F29" i="83"/>
  <c r="B29" i="83"/>
  <c r="Z28" i="83"/>
  <c r="X28" i="83"/>
  <c r="V28" i="83"/>
  <c r="N28" i="83"/>
  <c r="L28" i="83"/>
  <c r="B28" i="83"/>
  <c r="Z27" i="83"/>
  <c r="X27" i="83"/>
  <c r="V27" i="83"/>
  <c r="L27" i="83"/>
  <c r="N27" i="83" s="1"/>
  <c r="B27" i="83"/>
  <c r="Z26" i="83"/>
  <c r="X26" i="83"/>
  <c r="R26" i="83"/>
  <c r="N26" i="83"/>
  <c r="L26" i="83"/>
  <c r="B26" i="83"/>
  <c r="X25" i="83"/>
  <c r="Z25" i="83" s="1"/>
  <c r="N25" i="83"/>
  <c r="L25" i="83"/>
  <c r="J25" i="83"/>
  <c r="B25" i="83"/>
  <c r="V24" i="83"/>
  <c r="T24" i="83"/>
  <c r="P24" i="83"/>
  <c r="X24" i="83" s="1"/>
  <c r="Z24" i="83" s="1"/>
  <c r="H24" i="83"/>
  <c r="D24" i="83"/>
  <c r="B24" i="83"/>
  <c r="X23" i="83"/>
  <c r="T23" i="83"/>
  <c r="P23" i="83"/>
  <c r="H23" i="83"/>
  <c r="D23" i="83"/>
  <c r="L23" i="83" s="1"/>
  <c r="T21" i="83"/>
  <c r="T90" i="83" s="1"/>
  <c r="J21" i="83"/>
  <c r="H21" i="83"/>
  <c r="Z19" i="83"/>
  <c r="X19" i="83"/>
  <c r="N19" i="83"/>
  <c r="L19" i="83"/>
  <c r="B19" i="83"/>
  <c r="Z18" i="83"/>
  <c r="X18" i="83"/>
  <c r="V18" i="83"/>
  <c r="N18" i="83"/>
  <c r="L18" i="83"/>
  <c r="J18" i="83"/>
  <c r="B18" i="83"/>
  <c r="Z17" i="83"/>
  <c r="X17" i="83"/>
  <c r="V17" i="83"/>
  <c r="N17" i="83"/>
  <c r="L17" i="83"/>
  <c r="F17" i="83"/>
  <c r="B17" i="83"/>
  <c r="V16" i="83"/>
  <c r="T16" i="83"/>
  <c r="P16" i="83"/>
  <c r="X16" i="83" s="1"/>
  <c r="Z16" i="83" s="1"/>
  <c r="N16" i="83"/>
  <c r="L16" i="83"/>
  <c r="H16" i="83"/>
  <c r="F16" i="83"/>
  <c r="D16" i="83"/>
  <c r="P14" i="83"/>
  <c r="X14" i="83" s="1"/>
  <c r="Z14" i="83" s="1"/>
  <c r="D14" i="83"/>
  <c r="L14" i="83" s="1"/>
  <c r="N14" i="83" s="1"/>
  <c r="B14" i="83"/>
  <c r="Z13" i="83"/>
  <c r="X13" i="83"/>
  <c r="P13" i="83"/>
  <c r="D13" i="83"/>
  <c r="D12" i="83" s="1"/>
  <c r="F38" i="83" s="1"/>
  <c r="B13" i="83"/>
  <c r="T12" i="83"/>
  <c r="P12" i="83"/>
  <c r="R49" i="83" s="1"/>
  <c r="H12" i="83"/>
  <c r="J82" i="83" s="1"/>
  <c r="D6" i="83"/>
  <c r="D4" i="83"/>
  <c r="Z51" i="82"/>
  <c r="X51" i="82"/>
  <c r="L51" i="82"/>
  <c r="N51" i="82" s="1"/>
  <c r="J51" i="82"/>
  <c r="Z47" i="82"/>
  <c r="V47" i="82"/>
  <c r="T47" i="82"/>
  <c r="P47" i="82"/>
  <c r="X47" i="82" s="1"/>
  <c r="H47" i="82"/>
  <c r="N47" i="82" s="1"/>
  <c r="D47" i="82"/>
  <c r="L47" i="82" s="1"/>
  <c r="Z45" i="82"/>
  <c r="X45" i="82"/>
  <c r="N45" i="82"/>
  <c r="L45" i="82"/>
  <c r="B45" i="82"/>
  <c r="Z44" i="82"/>
  <c r="X44" i="82"/>
  <c r="N44" i="82"/>
  <c r="L44" i="82"/>
  <c r="B44" i="82"/>
  <c r="Z43" i="82"/>
  <c r="X43" i="82"/>
  <c r="N43" i="82"/>
  <c r="L43" i="82"/>
  <c r="B43" i="82"/>
  <c r="Z42" i="82"/>
  <c r="X42" i="82"/>
  <c r="N42" i="82"/>
  <c r="L42" i="82"/>
  <c r="J42" i="82"/>
  <c r="B42" i="82"/>
  <c r="Z41" i="82"/>
  <c r="X41" i="82"/>
  <c r="N41" i="82"/>
  <c r="L41" i="82"/>
  <c r="B41" i="82"/>
  <c r="Z40" i="82"/>
  <c r="X40" i="82"/>
  <c r="N40" i="82"/>
  <c r="L40" i="82"/>
  <c r="B40" i="82"/>
  <c r="Z39" i="82"/>
  <c r="X39" i="82"/>
  <c r="N39" i="82"/>
  <c r="L39" i="82"/>
  <c r="B39" i="82"/>
  <c r="Z38" i="82"/>
  <c r="X38" i="82"/>
  <c r="N38" i="82"/>
  <c r="L38" i="82"/>
  <c r="J38" i="82"/>
  <c r="B38" i="82"/>
  <c r="Z37" i="82"/>
  <c r="X37" i="82"/>
  <c r="V37" i="82"/>
  <c r="N37" i="82"/>
  <c r="L37" i="82"/>
  <c r="B37" i="82"/>
  <c r="Z36" i="82"/>
  <c r="X36" i="82"/>
  <c r="N36" i="82"/>
  <c r="L36" i="82"/>
  <c r="B36" i="82"/>
  <c r="T35" i="82"/>
  <c r="Z35" i="82" s="1"/>
  <c r="P35" i="82"/>
  <c r="N35" i="82"/>
  <c r="H35" i="82"/>
  <c r="D35" i="82"/>
  <c r="L35" i="82" s="1"/>
  <c r="B35" i="82"/>
  <c r="Z34" i="82"/>
  <c r="X34" i="82"/>
  <c r="N34" i="82"/>
  <c r="L34" i="82"/>
  <c r="B34" i="82"/>
  <c r="Z33" i="82"/>
  <c r="X33" i="82"/>
  <c r="N33" i="82"/>
  <c r="L33" i="82"/>
  <c r="J33" i="82"/>
  <c r="B33" i="82"/>
  <c r="Z32" i="82"/>
  <c r="X32" i="82"/>
  <c r="N32" i="82"/>
  <c r="L32" i="82"/>
  <c r="B32" i="82"/>
  <c r="Z31" i="82"/>
  <c r="X31" i="82"/>
  <c r="N31" i="82"/>
  <c r="L31" i="82"/>
  <c r="J31" i="82"/>
  <c r="B31" i="82"/>
  <c r="Z30" i="82"/>
  <c r="X30" i="82"/>
  <c r="N30" i="82"/>
  <c r="L30" i="82"/>
  <c r="B30" i="82"/>
  <c r="Z29" i="82"/>
  <c r="X29" i="82"/>
  <c r="N29" i="82"/>
  <c r="L29" i="82"/>
  <c r="J29" i="82"/>
  <c r="B29" i="82"/>
  <c r="Z28" i="82"/>
  <c r="X28" i="82"/>
  <c r="N28" i="82"/>
  <c r="L28" i="82"/>
  <c r="B28" i="82"/>
  <c r="Z27" i="82"/>
  <c r="X27" i="82"/>
  <c r="V27" i="82"/>
  <c r="N27" i="82"/>
  <c r="L27" i="82"/>
  <c r="B27" i="82"/>
  <c r="V26" i="82"/>
  <c r="T26" i="82"/>
  <c r="Z26" i="82" s="1"/>
  <c r="P26" i="82"/>
  <c r="H26" i="82"/>
  <c r="N26" i="82" s="1"/>
  <c r="D26" i="82"/>
  <c r="L26" i="82" s="1"/>
  <c r="B26" i="82"/>
  <c r="X25" i="82"/>
  <c r="T25" i="82"/>
  <c r="Z25" i="82" s="1"/>
  <c r="P25" i="82"/>
  <c r="N25" i="82"/>
  <c r="J25" i="82"/>
  <c r="H25" i="82"/>
  <c r="L25" i="82" s="1"/>
  <c r="D25" i="82"/>
  <c r="H23" i="82"/>
  <c r="Z21" i="82"/>
  <c r="X21" i="82"/>
  <c r="N21" i="82"/>
  <c r="L21" i="82"/>
  <c r="J21" i="82"/>
  <c r="B21" i="82"/>
  <c r="Z20" i="82"/>
  <c r="X20" i="82"/>
  <c r="N20" i="82"/>
  <c r="L20" i="82"/>
  <c r="J20" i="82"/>
  <c r="B20" i="82"/>
  <c r="Z19" i="82"/>
  <c r="X19" i="82"/>
  <c r="V19" i="82"/>
  <c r="N19" i="82"/>
  <c r="L19" i="82"/>
  <c r="B19" i="82"/>
  <c r="X18" i="82"/>
  <c r="Z18" i="82" s="1"/>
  <c r="T18" i="82"/>
  <c r="P18" i="82"/>
  <c r="L18" i="82"/>
  <c r="N18" i="82" s="1"/>
  <c r="H18" i="82"/>
  <c r="D18" i="82"/>
  <c r="Z16" i="82"/>
  <c r="X16" i="82"/>
  <c r="P16" i="82"/>
  <c r="N16" i="82"/>
  <c r="D16" i="82"/>
  <c r="L16" i="82" s="1"/>
  <c r="B16" i="82"/>
  <c r="Z15" i="82"/>
  <c r="P15" i="82"/>
  <c r="X15" i="82" s="1"/>
  <c r="N15" i="82"/>
  <c r="L15" i="82"/>
  <c r="D15" i="82"/>
  <c r="B15" i="82"/>
  <c r="Z14" i="82"/>
  <c r="P14" i="82"/>
  <c r="X14" i="82" s="1"/>
  <c r="N14" i="82"/>
  <c r="L14" i="82"/>
  <c r="D14" i="82"/>
  <c r="B14" i="82"/>
  <c r="P13" i="82"/>
  <c r="N13" i="82"/>
  <c r="L13" i="82"/>
  <c r="D13" i="82"/>
  <c r="B13" i="82"/>
  <c r="T12" i="82"/>
  <c r="H12" i="82"/>
  <c r="D6" i="82"/>
  <c r="D4" i="82"/>
  <c r="Z72" i="80"/>
  <c r="X72" i="80"/>
  <c r="N72" i="80"/>
  <c r="L72" i="80"/>
  <c r="T68" i="80"/>
  <c r="Z68" i="80" s="1"/>
  <c r="R68" i="80"/>
  <c r="P68" i="80"/>
  <c r="X68" i="80" s="1"/>
  <c r="N68" i="80"/>
  <c r="H68" i="80"/>
  <c r="D68" i="80"/>
  <c r="L68" i="80" s="1"/>
  <c r="Z66" i="80"/>
  <c r="X66" i="80"/>
  <c r="N66" i="80"/>
  <c r="L66" i="80"/>
  <c r="B66" i="80"/>
  <c r="X65" i="80"/>
  <c r="T65" i="80"/>
  <c r="Z65" i="80" s="1"/>
  <c r="P65" i="80"/>
  <c r="N65" i="80"/>
  <c r="L65" i="80"/>
  <c r="H65" i="80"/>
  <c r="D65" i="80"/>
  <c r="B65" i="80"/>
  <c r="Z64" i="80"/>
  <c r="X64" i="80"/>
  <c r="N64" i="80"/>
  <c r="L64" i="80"/>
  <c r="F64" i="80"/>
  <c r="B64" i="80"/>
  <c r="T63" i="80"/>
  <c r="Z63" i="80" s="1"/>
  <c r="P63" i="80"/>
  <c r="X63" i="80" s="1"/>
  <c r="H63" i="80"/>
  <c r="N63" i="80" s="1"/>
  <c r="F63" i="80"/>
  <c r="D63" i="80"/>
  <c r="L63" i="80" s="1"/>
  <c r="B63" i="80"/>
  <c r="Z62" i="80"/>
  <c r="X62" i="80"/>
  <c r="N62" i="80"/>
  <c r="L62" i="80"/>
  <c r="B62" i="80"/>
  <c r="Z61" i="80"/>
  <c r="X61" i="80"/>
  <c r="N61" i="80"/>
  <c r="L61" i="80"/>
  <c r="B61" i="80"/>
  <c r="Z60" i="80"/>
  <c r="X60" i="80"/>
  <c r="V60" i="80"/>
  <c r="N60" i="80"/>
  <c r="L60" i="80"/>
  <c r="B60" i="80"/>
  <c r="Z59" i="80"/>
  <c r="X59" i="80"/>
  <c r="N59" i="80"/>
  <c r="L59" i="80"/>
  <c r="B59" i="80"/>
  <c r="T58" i="80"/>
  <c r="Z58" i="80" s="1"/>
  <c r="P58" i="80"/>
  <c r="H58" i="80"/>
  <c r="D58" i="80"/>
  <c r="B58" i="80"/>
  <c r="Z57" i="80"/>
  <c r="X57" i="80"/>
  <c r="N57" i="80"/>
  <c r="L57" i="80"/>
  <c r="F57" i="80"/>
  <c r="B57" i="80"/>
  <c r="Z56" i="80"/>
  <c r="X56" i="80"/>
  <c r="N56" i="80"/>
  <c r="L56" i="80"/>
  <c r="B56" i="80"/>
  <c r="Z55" i="80"/>
  <c r="X55" i="80"/>
  <c r="V55" i="80"/>
  <c r="T55" i="80"/>
  <c r="P55" i="80"/>
  <c r="L55" i="80"/>
  <c r="H55" i="80"/>
  <c r="N55" i="80" s="1"/>
  <c r="D55" i="80"/>
  <c r="B55" i="80"/>
  <c r="Z54" i="80"/>
  <c r="X54" i="80"/>
  <c r="N54" i="80"/>
  <c r="L54" i="80"/>
  <c r="B54" i="80"/>
  <c r="Z53" i="80"/>
  <c r="X53" i="80"/>
  <c r="N53" i="80"/>
  <c r="L53" i="80"/>
  <c r="B53" i="80"/>
  <c r="Z52" i="80"/>
  <c r="T52" i="80"/>
  <c r="P52" i="80"/>
  <c r="X52" i="80" s="1"/>
  <c r="N52" i="80"/>
  <c r="L52" i="80"/>
  <c r="H52" i="80"/>
  <c r="D52" i="80"/>
  <c r="B52" i="80"/>
  <c r="Z51" i="80"/>
  <c r="X51" i="80"/>
  <c r="N51" i="80"/>
  <c r="L51" i="80"/>
  <c r="B51" i="80"/>
  <c r="T50" i="80"/>
  <c r="Z50" i="80" s="1"/>
  <c r="P50" i="80"/>
  <c r="J50" i="80"/>
  <c r="H50" i="80"/>
  <c r="D50" i="80"/>
  <c r="B50" i="80"/>
  <c r="Z49" i="80"/>
  <c r="X49" i="80"/>
  <c r="N49" i="80"/>
  <c r="L49" i="80"/>
  <c r="F49" i="80"/>
  <c r="B49" i="80"/>
  <c r="Z48" i="80"/>
  <c r="T48" i="80"/>
  <c r="P48" i="80"/>
  <c r="X48" i="80" s="1"/>
  <c r="H48" i="80"/>
  <c r="N48" i="80" s="1"/>
  <c r="F48" i="80"/>
  <c r="D48" i="80"/>
  <c r="L48" i="80" s="1"/>
  <c r="B48" i="80"/>
  <c r="X47" i="80"/>
  <c r="Z47" i="80" s="1"/>
  <c r="L47" i="80"/>
  <c r="N47" i="80" s="1"/>
  <c r="B47" i="80"/>
  <c r="Z46" i="80"/>
  <c r="X46" i="80"/>
  <c r="T46" i="80"/>
  <c r="P46" i="80"/>
  <c r="H46" i="80"/>
  <c r="D46" i="80"/>
  <c r="L46" i="80" s="1"/>
  <c r="N46" i="80" s="1"/>
  <c r="B46" i="80"/>
  <c r="Z45" i="80"/>
  <c r="X45" i="80"/>
  <c r="N45" i="80"/>
  <c r="L45" i="80"/>
  <c r="B45" i="80"/>
  <c r="V44" i="80"/>
  <c r="T44" i="80"/>
  <c r="P44" i="80"/>
  <c r="H44" i="80"/>
  <c r="N44" i="80" s="1"/>
  <c r="D44" i="80"/>
  <c r="B44" i="80"/>
  <c r="Z43" i="80"/>
  <c r="X43" i="80"/>
  <c r="V43" i="80"/>
  <c r="N43" i="80"/>
  <c r="L43" i="80"/>
  <c r="B43" i="80"/>
  <c r="T42" i="80"/>
  <c r="Z42" i="80" s="1"/>
  <c r="P42" i="80"/>
  <c r="X42" i="80" s="1"/>
  <c r="N42" i="80"/>
  <c r="H42" i="80"/>
  <c r="D42" i="80"/>
  <c r="L42" i="80" s="1"/>
  <c r="B42" i="80"/>
  <c r="Z41" i="80"/>
  <c r="X41" i="80"/>
  <c r="R41" i="80"/>
  <c r="N41" i="80"/>
  <c r="L41" i="80"/>
  <c r="B41" i="80"/>
  <c r="Z40" i="80"/>
  <c r="X40" i="80"/>
  <c r="N40" i="80"/>
  <c r="L40" i="80"/>
  <c r="F40" i="80"/>
  <c r="B40" i="80"/>
  <c r="Z39" i="80"/>
  <c r="X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J36" i="80"/>
  <c r="B36" i="80"/>
  <c r="Z35" i="80"/>
  <c r="X35" i="80"/>
  <c r="N35" i="80"/>
  <c r="L35" i="80"/>
  <c r="B35" i="80"/>
  <c r="Z34" i="80"/>
  <c r="X34" i="80"/>
  <c r="N34" i="80"/>
  <c r="L34" i="80"/>
  <c r="B34" i="80"/>
  <c r="Z33" i="80"/>
  <c r="X33" i="80"/>
  <c r="N33" i="80"/>
  <c r="L33" i="80"/>
  <c r="B33" i="80"/>
  <c r="Z32" i="80"/>
  <c r="X32" i="80"/>
  <c r="N32" i="80"/>
  <c r="L32" i="80"/>
  <c r="F32" i="80"/>
  <c r="B32" i="80"/>
  <c r="T31" i="80"/>
  <c r="Z31" i="80" s="1"/>
  <c r="P31" i="80"/>
  <c r="X31" i="80" s="1"/>
  <c r="H31" i="80"/>
  <c r="N31" i="80" s="1"/>
  <c r="F31" i="80"/>
  <c r="D31" i="80"/>
  <c r="L31" i="80" s="1"/>
  <c r="B31" i="80"/>
  <c r="Z30" i="80"/>
  <c r="X30" i="80"/>
  <c r="V30" i="80"/>
  <c r="N30" i="80"/>
  <c r="L30" i="80"/>
  <c r="B30" i="80"/>
  <c r="Z29" i="80"/>
  <c r="X29" i="80"/>
  <c r="N29" i="80"/>
  <c r="L29" i="80"/>
  <c r="B29" i="80"/>
  <c r="Z28" i="80"/>
  <c r="X28" i="80"/>
  <c r="V28" i="80"/>
  <c r="N28" i="80"/>
  <c r="L28" i="80"/>
  <c r="B28" i="80"/>
  <c r="Z27" i="80"/>
  <c r="X27" i="80"/>
  <c r="N27" i="80"/>
  <c r="L27" i="80"/>
  <c r="J27" i="80"/>
  <c r="B27" i="80"/>
  <c r="Z26" i="80"/>
  <c r="X26" i="80"/>
  <c r="V26" i="80"/>
  <c r="N26" i="80"/>
  <c r="L26" i="80"/>
  <c r="B26" i="80"/>
  <c r="Z25" i="80"/>
  <c r="X25" i="80"/>
  <c r="N25" i="80"/>
  <c r="L25" i="80"/>
  <c r="B25" i="80"/>
  <c r="Z24" i="80"/>
  <c r="X24" i="80"/>
  <c r="V24" i="80"/>
  <c r="N24" i="80"/>
  <c r="L24" i="80"/>
  <c r="B24" i="80"/>
  <c r="Z23" i="80"/>
  <c r="X23" i="80"/>
  <c r="N23" i="80"/>
  <c r="L23" i="80"/>
  <c r="J23" i="80"/>
  <c r="B23" i="80"/>
  <c r="V22" i="80"/>
  <c r="T22" i="80"/>
  <c r="Z22" i="80" s="1"/>
  <c r="P22" i="80"/>
  <c r="H22" i="80"/>
  <c r="D22" i="80"/>
  <c r="B22" i="80"/>
  <c r="X21" i="80"/>
  <c r="T21" i="80"/>
  <c r="Z21" i="80" s="1"/>
  <c r="P21" i="80"/>
  <c r="L21" i="80"/>
  <c r="J21" i="80"/>
  <c r="H21" i="80"/>
  <c r="D21" i="80"/>
  <c r="Z17" i="80"/>
  <c r="X17" i="80"/>
  <c r="N17" i="80"/>
  <c r="L17" i="80"/>
  <c r="F17" i="80"/>
  <c r="B17" i="80"/>
  <c r="Z16" i="80"/>
  <c r="X16" i="80"/>
  <c r="N16" i="80"/>
  <c r="L16" i="80"/>
  <c r="B16" i="80"/>
  <c r="X15" i="80"/>
  <c r="V15" i="80"/>
  <c r="T15" i="80"/>
  <c r="Z15" i="80" s="1"/>
  <c r="P15" i="80"/>
  <c r="L15" i="80"/>
  <c r="H15" i="80"/>
  <c r="N15" i="80" s="1"/>
  <c r="D15" i="80"/>
  <c r="Z13" i="80"/>
  <c r="X13" i="80"/>
  <c r="P13" i="80"/>
  <c r="P12" i="80" s="1"/>
  <c r="N13" i="80"/>
  <c r="D13" i="80"/>
  <c r="L13" i="80" s="1"/>
  <c r="B13" i="80"/>
  <c r="Z12" i="80"/>
  <c r="T12" i="80"/>
  <c r="V61" i="80" s="1"/>
  <c r="H12" i="80"/>
  <c r="J65" i="80" s="1"/>
  <c r="D12" i="80"/>
  <c r="D6" i="80"/>
  <c r="D4" i="80"/>
  <c r="Z81" i="79"/>
  <c r="X81" i="79"/>
  <c r="N81" i="79"/>
  <c r="L81" i="79"/>
  <c r="Z77" i="79"/>
  <c r="X77" i="79"/>
  <c r="T77" i="79"/>
  <c r="P77" i="79"/>
  <c r="N77" i="79"/>
  <c r="H77" i="79"/>
  <c r="D77" i="79"/>
  <c r="L77" i="79" s="1"/>
  <c r="X75" i="79"/>
  <c r="Z75" i="79" s="1"/>
  <c r="N75" i="79"/>
  <c r="L75" i="79"/>
  <c r="B75" i="79"/>
  <c r="T74" i="79"/>
  <c r="P74" i="79"/>
  <c r="X74" i="79" s="1"/>
  <c r="H74" i="79"/>
  <c r="N74" i="79" s="1"/>
  <c r="D74" i="79"/>
  <c r="L74" i="79" s="1"/>
  <c r="B74" i="79"/>
  <c r="X73" i="79"/>
  <c r="Z73" i="79" s="1"/>
  <c r="N73" i="79"/>
  <c r="L73" i="79"/>
  <c r="B73" i="79"/>
  <c r="T72" i="79"/>
  <c r="P72" i="79"/>
  <c r="X72" i="79" s="1"/>
  <c r="Z72" i="79" s="1"/>
  <c r="N72" i="79"/>
  <c r="H72" i="79"/>
  <c r="D72" i="79"/>
  <c r="L72" i="79" s="1"/>
  <c r="B72" i="79"/>
  <c r="Z71" i="79"/>
  <c r="X71" i="79"/>
  <c r="N71" i="79"/>
  <c r="L71" i="79"/>
  <c r="B71" i="79"/>
  <c r="X70" i="79"/>
  <c r="Z70" i="79" s="1"/>
  <c r="L70" i="79"/>
  <c r="N70" i="79" s="1"/>
  <c r="F70" i="79"/>
  <c r="B70" i="79"/>
  <c r="T69" i="79"/>
  <c r="P69" i="79"/>
  <c r="X69" i="79" s="1"/>
  <c r="Z69" i="79" s="1"/>
  <c r="H69" i="79"/>
  <c r="F69" i="79"/>
  <c r="D69" i="79"/>
  <c r="L69" i="79" s="1"/>
  <c r="N69" i="79" s="1"/>
  <c r="B69" i="79"/>
  <c r="X68" i="79"/>
  <c r="Z68" i="79" s="1"/>
  <c r="N68" i="79"/>
  <c r="L68" i="79"/>
  <c r="B68" i="79"/>
  <c r="X67" i="79"/>
  <c r="Z67" i="79" s="1"/>
  <c r="N67" i="79"/>
  <c r="L67" i="79"/>
  <c r="J67" i="79"/>
  <c r="B67" i="79"/>
  <c r="X66" i="79"/>
  <c r="Z66" i="79" s="1"/>
  <c r="N66" i="79"/>
  <c r="L66" i="79"/>
  <c r="B66" i="79"/>
  <c r="T65" i="79"/>
  <c r="P65" i="79"/>
  <c r="X65" i="79" s="1"/>
  <c r="Z65" i="79" s="1"/>
  <c r="L65" i="79"/>
  <c r="N65" i="79" s="1"/>
  <c r="H65" i="79"/>
  <c r="D65" i="79"/>
  <c r="B65" i="79"/>
  <c r="X64" i="79"/>
  <c r="Z64" i="79" s="1"/>
  <c r="L64" i="79"/>
  <c r="N64" i="79" s="1"/>
  <c r="J64" i="79"/>
  <c r="B64" i="79"/>
  <c r="Z63" i="79"/>
  <c r="X63" i="79"/>
  <c r="N63" i="79"/>
  <c r="L63" i="79"/>
  <c r="B63" i="79"/>
  <c r="Z62" i="79"/>
  <c r="T62" i="79"/>
  <c r="P62" i="79"/>
  <c r="X62" i="79" s="1"/>
  <c r="H62" i="79"/>
  <c r="D62" i="79"/>
  <c r="L62" i="79" s="1"/>
  <c r="N62" i="79" s="1"/>
  <c r="B62" i="79"/>
  <c r="Z61" i="79"/>
  <c r="X61" i="79"/>
  <c r="N61" i="79"/>
  <c r="L61" i="79"/>
  <c r="B61" i="79"/>
  <c r="Z60" i="79"/>
  <c r="X60" i="79"/>
  <c r="N60" i="79"/>
  <c r="L60" i="79"/>
  <c r="B60" i="79"/>
  <c r="T59" i="79"/>
  <c r="P59" i="79"/>
  <c r="X59" i="79" s="1"/>
  <c r="Z59" i="79" s="1"/>
  <c r="H59" i="79"/>
  <c r="D59" i="79"/>
  <c r="L59" i="79" s="1"/>
  <c r="N59" i="79" s="1"/>
  <c r="B59" i="79"/>
  <c r="X58" i="79"/>
  <c r="Z58" i="79" s="1"/>
  <c r="N58" i="79"/>
  <c r="L58" i="79"/>
  <c r="B58" i="79"/>
  <c r="Z57" i="79"/>
  <c r="X57" i="79"/>
  <c r="N57" i="79"/>
  <c r="L57" i="79"/>
  <c r="J57" i="79"/>
  <c r="F57" i="79"/>
  <c r="B57" i="79"/>
  <c r="T56" i="79"/>
  <c r="Z56" i="79" s="1"/>
  <c r="P56" i="79"/>
  <c r="X56" i="79" s="1"/>
  <c r="H56" i="79"/>
  <c r="F56" i="79"/>
  <c r="D56" i="79"/>
  <c r="B56" i="79"/>
  <c r="Z55" i="79"/>
  <c r="X55" i="79"/>
  <c r="N55" i="79"/>
  <c r="L55" i="79"/>
  <c r="B55" i="79"/>
  <c r="Z54" i="79"/>
  <c r="T54" i="79"/>
  <c r="P54" i="79"/>
  <c r="X54" i="79" s="1"/>
  <c r="N54" i="79"/>
  <c r="H54" i="79"/>
  <c r="D54" i="79"/>
  <c r="L54" i="79" s="1"/>
  <c r="B54" i="79"/>
  <c r="Z53" i="79"/>
  <c r="X53" i="79"/>
  <c r="N53" i="79"/>
  <c r="L53" i="79"/>
  <c r="B53" i="79"/>
  <c r="X52" i="79"/>
  <c r="T52" i="79"/>
  <c r="P52" i="79"/>
  <c r="L52" i="79"/>
  <c r="H52" i="79"/>
  <c r="N52" i="79" s="1"/>
  <c r="D52" i="79"/>
  <c r="B52" i="79"/>
  <c r="Z51" i="79"/>
  <c r="X51" i="79"/>
  <c r="N51" i="79"/>
  <c r="L51" i="79"/>
  <c r="J51" i="79"/>
  <c r="B51" i="79"/>
  <c r="T50" i="79"/>
  <c r="P50" i="79"/>
  <c r="H50" i="79"/>
  <c r="D50" i="79"/>
  <c r="L50" i="79" s="1"/>
  <c r="B50" i="79"/>
  <c r="Z49" i="79"/>
  <c r="X49" i="79"/>
  <c r="N49" i="79"/>
  <c r="L49" i="79"/>
  <c r="B49" i="79"/>
  <c r="Z48" i="79"/>
  <c r="T48" i="79"/>
  <c r="P48" i="79"/>
  <c r="X48" i="79" s="1"/>
  <c r="N48" i="79"/>
  <c r="H48" i="79"/>
  <c r="D48" i="79"/>
  <c r="L48" i="79" s="1"/>
  <c r="B48" i="79"/>
  <c r="Z47" i="79"/>
  <c r="X47" i="79"/>
  <c r="N47" i="79"/>
  <c r="L47" i="79"/>
  <c r="B47" i="79"/>
  <c r="X46" i="79"/>
  <c r="T46" i="79"/>
  <c r="Z46" i="79" s="1"/>
  <c r="P46" i="79"/>
  <c r="L46" i="79"/>
  <c r="J46" i="79"/>
  <c r="H46" i="79"/>
  <c r="D46" i="79"/>
  <c r="B46" i="79"/>
  <c r="Z45" i="79"/>
  <c r="X45" i="79"/>
  <c r="N45" i="79"/>
  <c r="L45" i="79"/>
  <c r="J45" i="79"/>
  <c r="F45" i="79"/>
  <c r="B45" i="79"/>
  <c r="Z44" i="79"/>
  <c r="X44" i="79"/>
  <c r="N44" i="79"/>
  <c r="L44" i="79"/>
  <c r="B44" i="79"/>
  <c r="X43" i="79"/>
  <c r="Z43" i="79" s="1"/>
  <c r="N43" i="79"/>
  <c r="L43" i="79"/>
  <c r="J43" i="79"/>
  <c r="B43" i="79"/>
  <c r="Z42" i="79"/>
  <c r="X42" i="79"/>
  <c r="N42" i="79"/>
  <c r="L42" i="79"/>
  <c r="B42" i="79"/>
  <c r="Z41" i="79"/>
  <c r="X41" i="79"/>
  <c r="N41" i="79"/>
  <c r="L41" i="79"/>
  <c r="J41" i="79"/>
  <c r="F41" i="79"/>
  <c r="B41" i="79"/>
  <c r="X40" i="79"/>
  <c r="Z40" i="79" s="1"/>
  <c r="L40" i="79"/>
  <c r="N40" i="79" s="1"/>
  <c r="B40" i="79"/>
  <c r="X39" i="79"/>
  <c r="Z39" i="79" s="1"/>
  <c r="N39" i="79"/>
  <c r="L39" i="79"/>
  <c r="J39" i="79"/>
  <c r="B39" i="79"/>
  <c r="Z38" i="79"/>
  <c r="X38" i="79"/>
  <c r="N38" i="79"/>
  <c r="L38" i="79"/>
  <c r="B38" i="79"/>
  <c r="Z37" i="79"/>
  <c r="X37" i="79"/>
  <c r="N37" i="79"/>
  <c r="L37" i="79"/>
  <c r="J37" i="79"/>
  <c r="F37" i="79"/>
  <c r="B37" i="79"/>
  <c r="Z36" i="79"/>
  <c r="X36" i="79"/>
  <c r="N36" i="79"/>
  <c r="L36" i="79"/>
  <c r="B36" i="79"/>
  <c r="X35" i="79"/>
  <c r="Z35" i="79" s="1"/>
  <c r="T35" i="79"/>
  <c r="P35" i="79"/>
  <c r="J35" i="79"/>
  <c r="H35" i="79"/>
  <c r="D35" i="79"/>
  <c r="L35" i="79" s="1"/>
  <c r="N35" i="79" s="1"/>
  <c r="B35" i="79"/>
  <c r="Z34" i="79"/>
  <c r="X34" i="79"/>
  <c r="N34" i="79"/>
  <c r="L34" i="79"/>
  <c r="B34" i="79"/>
  <c r="X33" i="79"/>
  <c r="Z33" i="79" s="1"/>
  <c r="N33" i="79"/>
  <c r="L33" i="79"/>
  <c r="B33" i="79"/>
  <c r="Z32" i="79"/>
  <c r="X32" i="79"/>
  <c r="N32" i="79"/>
  <c r="L32" i="79"/>
  <c r="J32" i="79"/>
  <c r="B32" i="79"/>
  <c r="Z31" i="79"/>
  <c r="X31" i="79"/>
  <c r="N31" i="79"/>
  <c r="L31" i="79"/>
  <c r="B31" i="79"/>
  <c r="Z30" i="79"/>
  <c r="X30" i="79"/>
  <c r="N30" i="79"/>
  <c r="L30" i="79"/>
  <c r="B30" i="79"/>
  <c r="X29" i="79"/>
  <c r="Z29" i="79" s="1"/>
  <c r="N29" i="79"/>
  <c r="L29" i="79"/>
  <c r="B29" i="79"/>
  <c r="Z28" i="79"/>
  <c r="X28" i="79"/>
  <c r="N28" i="79"/>
  <c r="L28" i="79"/>
  <c r="J28" i="79"/>
  <c r="B28" i="79"/>
  <c r="X27" i="79"/>
  <c r="Z27" i="79" s="1"/>
  <c r="N27" i="79"/>
  <c r="L27" i="79"/>
  <c r="B27" i="79"/>
  <c r="Z26" i="79"/>
  <c r="X26" i="79"/>
  <c r="L26" i="79"/>
  <c r="N26" i="79" s="1"/>
  <c r="B26" i="79"/>
  <c r="T25" i="79"/>
  <c r="P25" i="79"/>
  <c r="J25" i="79"/>
  <c r="H25" i="79"/>
  <c r="D25" i="79"/>
  <c r="B25" i="79"/>
  <c r="X24" i="79"/>
  <c r="T24" i="79"/>
  <c r="Z24" i="79" s="1"/>
  <c r="P24" i="79"/>
  <c r="L24" i="79"/>
  <c r="H24" i="79"/>
  <c r="N24" i="79" s="1"/>
  <c r="D24" i="79"/>
  <c r="H22" i="79"/>
  <c r="Z20" i="79"/>
  <c r="X20" i="79"/>
  <c r="N20" i="79"/>
  <c r="L20" i="79"/>
  <c r="B20" i="79"/>
  <c r="Z19" i="79"/>
  <c r="X19" i="79"/>
  <c r="N19" i="79"/>
  <c r="L19" i="79"/>
  <c r="J19" i="79"/>
  <c r="B19" i="79"/>
  <c r="X18" i="79"/>
  <c r="Z18" i="79" s="1"/>
  <c r="L18" i="79"/>
  <c r="N18" i="79" s="1"/>
  <c r="F18" i="79"/>
  <c r="B18" i="79"/>
  <c r="T17" i="79"/>
  <c r="P17" i="79"/>
  <c r="X17" i="79" s="1"/>
  <c r="Z17" i="79" s="1"/>
  <c r="H17" i="79"/>
  <c r="F17" i="79"/>
  <c r="D17" i="79"/>
  <c r="L17" i="79" s="1"/>
  <c r="N17" i="79" s="1"/>
  <c r="Z15" i="79"/>
  <c r="P15" i="79"/>
  <c r="X15" i="79" s="1"/>
  <c r="N15" i="79"/>
  <c r="L15" i="79"/>
  <c r="D15" i="79"/>
  <c r="B15" i="79"/>
  <c r="P14" i="79"/>
  <c r="X14" i="79" s="1"/>
  <c r="Z14" i="79" s="1"/>
  <c r="N14" i="79"/>
  <c r="L14" i="79"/>
  <c r="D14" i="79"/>
  <c r="B14" i="79"/>
  <c r="Z13" i="79"/>
  <c r="P13" i="79"/>
  <c r="X13" i="79" s="1"/>
  <c r="N13" i="79"/>
  <c r="L13" i="79"/>
  <c r="D13" i="79"/>
  <c r="B13" i="79"/>
  <c r="T12" i="79"/>
  <c r="V24" i="79" s="1"/>
  <c r="H12" i="79"/>
  <c r="J72" i="79" s="1"/>
  <c r="D12" i="79"/>
  <c r="F71" i="79" s="1"/>
  <c r="D6" i="79"/>
  <c r="D4" i="79"/>
  <c r="X103" i="76"/>
  <c r="Z103" i="76" s="1"/>
  <c r="N103" i="76"/>
  <c r="L103" i="76"/>
  <c r="X99" i="76"/>
  <c r="Z99" i="76" s="1"/>
  <c r="P99" i="76"/>
  <c r="J99" i="76"/>
  <c r="D99" i="76"/>
  <c r="L99" i="76" s="1"/>
  <c r="N99" i="76" s="1"/>
  <c r="B99" i="76"/>
  <c r="Z98" i="76"/>
  <c r="P98" i="76"/>
  <c r="X98" i="76" s="1"/>
  <c r="N98" i="76"/>
  <c r="D98" i="76"/>
  <c r="B98" i="76"/>
  <c r="T97" i="76"/>
  <c r="P97" i="76"/>
  <c r="X97" i="76" s="1"/>
  <c r="H97" i="76"/>
  <c r="X95" i="76"/>
  <c r="Z95" i="76" s="1"/>
  <c r="L95" i="76"/>
  <c r="N95" i="76" s="1"/>
  <c r="B95" i="76"/>
  <c r="X94" i="76"/>
  <c r="Z94" i="76" s="1"/>
  <c r="T94" i="76"/>
  <c r="P94" i="76"/>
  <c r="N94" i="76"/>
  <c r="L94" i="76"/>
  <c r="H94" i="76"/>
  <c r="D94" i="76"/>
  <c r="B94" i="76"/>
  <c r="Z93" i="76"/>
  <c r="X93" i="76"/>
  <c r="L93" i="76"/>
  <c r="N93" i="76" s="1"/>
  <c r="B93" i="76"/>
  <c r="T92" i="76"/>
  <c r="P92" i="76"/>
  <c r="H92" i="76"/>
  <c r="L92" i="76" s="1"/>
  <c r="N92" i="76" s="1"/>
  <c r="D92" i="76"/>
  <c r="B92" i="76"/>
  <c r="X91" i="76"/>
  <c r="Z91" i="76" s="1"/>
  <c r="L91" i="76"/>
  <c r="N91" i="76" s="1"/>
  <c r="B91" i="76"/>
  <c r="Z90" i="76"/>
  <c r="X90" i="76"/>
  <c r="L90" i="76"/>
  <c r="N90" i="76" s="1"/>
  <c r="B90" i="76"/>
  <c r="Z89" i="76"/>
  <c r="X89" i="76"/>
  <c r="N89" i="76"/>
  <c r="L89" i="76"/>
  <c r="B89" i="76"/>
  <c r="T88" i="76"/>
  <c r="P88" i="76"/>
  <c r="X88" i="76" s="1"/>
  <c r="Z88" i="76" s="1"/>
  <c r="H88" i="76"/>
  <c r="D88" i="76"/>
  <c r="L88" i="76" s="1"/>
  <c r="N88" i="76" s="1"/>
  <c r="B88" i="76"/>
  <c r="X87" i="76"/>
  <c r="Z87" i="76" s="1"/>
  <c r="L87" i="76"/>
  <c r="N87" i="76" s="1"/>
  <c r="B87" i="76"/>
  <c r="Z86" i="76"/>
  <c r="X86" i="76"/>
  <c r="T86" i="76"/>
  <c r="P86" i="76"/>
  <c r="N86" i="76"/>
  <c r="L86" i="76"/>
  <c r="H86" i="76"/>
  <c r="D86" i="76"/>
  <c r="B86" i="76"/>
  <c r="Z85" i="76"/>
  <c r="X85" i="76"/>
  <c r="L85" i="76"/>
  <c r="N85" i="76" s="1"/>
  <c r="B85" i="76"/>
  <c r="T84" i="76"/>
  <c r="P84" i="76"/>
  <c r="H84" i="76"/>
  <c r="D84" i="76"/>
  <c r="B84" i="76"/>
  <c r="X83" i="76"/>
  <c r="Z83" i="76" s="1"/>
  <c r="V83" i="76"/>
  <c r="L83" i="76"/>
  <c r="N83" i="76" s="1"/>
  <c r="B83" i="76"/>
  <c r="Z82" i="76"/>
  <c r="T82" i="76"/>
  <c r="P82" i="76"/>
  <c r="X82" i="76" s="1"/>
  <c r="H82" i="76"/>
  <c r="D82" i="76"/>
  <c r="L82" i="76" s="1"/>
  <c r="N82" i="76" s="1"/>
  <c r="B82" i="76"/>
  <c r="Z81" i="76"/>
  <c r="X81" i="76"/>
  <c r="N81" i="76"/>
  <c r="L81" i="76"/>
  <c r="B81" i="76"/>
  <c r="Z80" i="76"/>
  <c r="X80" i="76"/>
  <c r="L80" i="76"/>
  <c r="N80" i="76" s="1"/>
  <c r="B80" i="76"/>
  <c r="T79" i="76"/>
  <c r="P79" i="76"/>
  <c r="X79" i="76" s="1"/>
  <c r="H79" i="76"/>
  <c r="D79" i="76"/>
  <c r="L79" i="76" s="1"/>
  <c r="B79" i="76"/>
  <c r="Z78" i="76"/>
  <c r="X78" i="76"/>
  <c r="N78" i="76"/>
  <c r="L78" i="76"/>
  <c r="B78" i="76"/>
  <c r="T77" i="76"/>
  <c r="P77" i="76"/>
  <c r="X77" i="76" s="1"/>
  <c r="Z77" i="76" s="1"/>
  <c r="L77" i="76"/>
  <c r="N77" i="76" s="1"/>
  <c r="H77" i="76"/>
  <c r="D77" i="76"/>
  <c r="B77" i="76"/>
  <c r="Z76" i="76"/>
  <c r="X76" i="76"/>
  <c r="N76" i="76"/>
  <c r="L76" i="76"/>
  <c r="B76" i="76"/>
  <c r="V75" i="76"/>
  <c r="T75" i="76"/>
  <c r="P75" i="76"/>
  <c r="H75" i="76"/>
  <c r="D75" i="76"/>
  <c r="B75" i="76"/>
  <c r="X74" i="76"/>
  <c r="Z74" i="76" s="1"/>
  <c r="N74" i="76"/>
  <c r="L74" i="76"/>
  <c r="J74" i="76"/>
  <c r="B74" i="76"/>
  <c r="T73" i="76"/>
  <c r="P73" i="76"/>
  <c r="H73" i="76"/>
  <c r="D73" i="76"/>
  <c r="L73" i="76" s="1"/>
  <c r="B73" i="76"/>
  <c r="Z72" i="76"/>
  <c r="X72" i="76"/>
  <c r="N72" i="76"/>
  <c r="L72" i="76"/>
  <c r="B72" i="76"/>
  <c r="T71" i="76"/>
  <c r="P71" i="76"/>
  <c r="X71" i="76" s="1"/>
  <c r="Z71" i="76" s="1"/>
  <c r="N71" i="76"/>
  <c r="L71" i="76"/>
  <c r="H71" i="76"/>
  <c r="D71" i="76"/>
  <c r="B71" i="76"/>
  <c r="Z70" i="76"/>
  <c r="X70" i="76"/>
  <c r="N70" i="76"/>
  <c r="L70" i="76"/>
  <c r="B70" i="76"/>
  <c r="Z69" i="76"/>
  <c r="X69" i="76"/>
  <c r="N69" i="76"/>
  <c r="L69" i="76"/>
  <c r="B69" i="76"/>
  <c r="Z68" i="76"/>
  <c r="X68" i="76"/>
  <c r="N68" i="76"/>
  <c r="L68" i="76"/>
  <c r="B68" i="76"/>
  <c r="X67" i="76"/>
  <c r="Z67" i="76" s="1"/>
  <c r="N67" i="76"/>
  <c r="L67" i="76"/>
  <c r="B67" i="76"/>
  <c r="Z66" i="76"/>
  <c r="X66" i="76"/>
  <c r="N66" i="76"/>
  <c r="L66" i="76"/>
  <c r="B66" i="76"/>
  <c r="Z65" i="76"/>
  <c r="X65" i="76"/>
  <c r="N65" i="76"/>
  <c r="L65" i="76"/>
  <c r="B65" i="76"/>
  <c r="Z64" i="76"/>
  <c r="X64" i="76"/>
  <c r="N64" i="76"/>
  <c r="L64" i="76"/>
  <c r="B64" i="76"/>
  <c r="Z63" i="76"/>
  <c r="X63" i="76"/>
  <c r="N63" i="76"/>
  <c r="L63" i="76"/>
  <c r="B63" i="76"/>
  <c r="Z62" i="76"/>
  <c r="X62" i="76"/>
  <c r="N62" i="76"/>
  <c r="L62" i="76"/>
  <c r="B62" i="76"/>
  <c r="Z61" i="76"/>
  <c r="X61" i="76"/>
  <c r="N61" i="76"/>
  <c r="L61" i="76"/>
  <c r="B61" i="76"/>
  <c r="T60" i="76"/>
  <c r="P60" i="76"/>
  <c r="X60" i="76" s="1"/>
  <c r="Z60" i="76" s="1"/>
  <c r="H60" i="76"/>
  <c r="D60" i="76"/>
  <c r="L60" i="76" s="1"/>
  <c r="N60" i="76" s="1"/>
  <c r="B60" i="76"/>
  <c r="X59" i="76"/>
  <c r="Z59" i="76" s="1"/>
  <c r="L59" i="76"/>
  <c r="N59" i="76" s="1"/>
  <c r="B59" i="76"/>
  <c r="Z58" i="76"/>
  <c r="X58" i="76"/>
  <c r="N58" i="76"/>
  <c r="L58" i="76"/>
  <c r="B58" i="76"/>
  <c r="X57" i="76"/>
  <c r="Z57" i="76" s="1"/>
  <c r="L57" i="76"/>
  <c r="N57" i="76" s="1"/>
  <c r="B57" i="76"/>
  <c r="Z56" i="76"/>
  <c r="X56" i="76"/>
  <c r="N56" i="76"/>
  <c r="L56" i="76"/>
  <c r="B56" i="76"/>
  <c r="Z55" i="76"/>
  <c r="X55" i="76"/>
  <c r="N55" i="76"/>
  <c r="L55" i="76"/>
  <c r="B55" i="76"/>
  <c r="Z54" i="76"/>
  <c r="X54" i="76"/>
  <c r="N54" i="76"/>
  <c r="L54" i="76"/>
  <c r="B54" i="76"/>
  <c r="X53" i="76"/>
  <c r="Z53" i="76" s="1"/>
  <c r="N53" i="76"/>
  <c r="L53" i="76"/>
  <c r="B53" i="76"/>
  <c r="X52" i="76"/>
  <c r="Z52" i="76" s="1"/>
  <c r="N52" i="76"/>
  <c r="L52" i="76"/>
  <c r="B52" i="76"/>
  <c r="X51" i="76"/>
  <c r="Z51" i="76" s="1"/>
  <c r="L51" i="76"/>
  <c r="N51" i="76" s="1"/>
  <c r="B51" i="76"/>
  <c r="X50" i="76"/>
  <c r="Z50" i="76" s="1"/>
  <c r="V50" i="76"/>
  <c r="N50" i="76"/>
  <c r="L50" i="76"/>
  <c r="B50" i="76"/>
  <c r="T49" i="76"/>
  <c r="P49" i="76"/>
  <c r="H49" i="76"/>
  <c r="D49" i="76"/>
  <c r="L49" i="76" s="1"/>
  <c r="B49" i="76"/>
  <c r="V48" i="76"/>
  <c r="T48" i="76"/>
  <c r="P48" i="76"/>
  <c r="H48" i="76"/>
  <c r="D48" i="76"/>
  <c r="H46" i="76"/>
  <c r="Z44" i="76"/>
  <c r="X44" i="76"/>
  <c r="N44" i="76"/>
  <c r="L44" i="76"/>
  <c r="B44" i="76"/>
  <c r="Z43" i="76"/>
  <c r="X43" i="76"/>
  <c r="N43" i="76"/>
  <c r="L43" i="76"/>
  <c r="B43" i="76"/>
  <c r="Z42" i="76"/>
  <c r="X42" i="76"/>
  <c r="N42" i="76"/>
  <c r="L42" i="76"/>
  <c r="B42" i="76"/>
  <c r="Z41" i="76"/>
  <c r="X41" i="76"/>
  <c r="N41" i="76"/>
  <c r="L41" i="76"/>
  <c r="B41" i="76"/>
  <c r="Z40" i="76"/>
  <c r="X40" i="76"/>
  <c r="V40" i="76"/>
  <c r="N40" i="76"/>
  <c r="L40" i="76"/>
  <c r="B40" i="76"/>
  <c r="Z39" i="76"/>
  <c r="X39" i="76"/>
  <c r="N39" i="76"/>
  <c r="L39" i="76"/>
  <c r="B39" i="76"/>
  <c r="Z38" i="76"/>
  <c r="X38" i="76"/>
  <c r="N38" i="76"/>
  <c r="L38" i="76"/>
  <c r="B38" i="76"/>
  <c r="Z37" i="76"/>
  <c r="X37" i="76"/>
  <c r="N37" i="76"/>
  <c r="L37" i="76"/>
  <c r="B37" i="76"/>
  <c r="Z36" i="76"/>
  <c r="X36" i="76"/>
  <c r="N36" i="76"/>
  <c r="L36" i="76"/>
  <c r="B36" i="76"/>
  <c r="Z35" i="76"/>
  <c r="X35" i="76"/>
  <c r="N35" i="76"/>
  <c r="L35" i="76"/>
  <c r="B35" i="76"/>
  <c r="Z34" i="76"/>
  <c r="X34" i="76"/>
  <c r="V34" i="76"/>
  <c r="N34" i="76"/>
  <c r="L34" i="76"/>
  <c r="B34" i="76"/>
  <c r="X33" i="76"/>
  <c r="Z33" i="76" s="1"/>
  <c r="L33" i="76"/>
  <c r="N33" i="76" s="1"/>
  <c r="B33" i="76"/>
  <c r="T32" i="76"/>
  <c r="P32" i="76"/>
  <c r="X32" i="76" s="1"/>
  <c r="H32" i="76"/>
  <c r="D32" i="76"/>
  <c r="L32" i="76" s="1"/>
  <c r="N32" i="76" s="1"/>
  <c r="Z30" i="76"/>
  <c r="X30" i="76"/>
  <c r="P30" i="76"/>
  <c r="N30" i="76"/>
  <c r="L30" i="76"/>
  <c r="D30" i="76"/>
  <c r="B30" i="76"/>
  <c r="Z29" i="76"/>
  <c r="X29" i="76"/>
  <c r="P29" i="76"/>
  <c r="N29" i="76"/>
  <c r="D29" i="76"/>
  <c r="L29" i="76" s="1"/>
  <c r="B29" i="76"/>
  <c r="Z28" i="76"/>
  <c r="P28" i="76"/>
  <c r="X28" i="76" s="1"/>
  <c r="N28" i="76"/>
  <c r="L28" i="76"/>
  <c r="D28" i="76"/>
  <c r="B28" i="76"/>
  <c r="Z27" i="76"/>
  <c r="P27" i="76"/>
  <c r="X27" i="76" s="1"/>
  <c r="N27" i="76"/>
  <c r="L27" i="76"/>
  <c r="D27" i="76"/>
  <c r="B27" i="76"/>
  <c r="Z26" i="76"/>
  <c r="P26" i="76"/>
  <c r="X26" i="76" s="1"/>
  <c r="N26" i="76"/>
  <c r="L26" i="76"/>
  <c r="D26" i="76"/>
  <c r="B26" i="76"/>
  <c r="Z25" i="76"/>
  <c r="X25" i="76"/>
  <c r="P25" i="76"/>
  <c r="N25" i="76"/>
  <c r="D25" i="76"/>
  <c r="L25" i="76" s="1"/>
  <c r="B25" i="76"/>
  <c r="Z24" i="76"/>
  <c r="P24" i="76"/>
  <c r="X24" i="76" s="1"/>
  <c r="N24" i="76"/>
  <c r="D24" i="76"/>
  <c r="L24" i="76" s="1"/>
  <c r="B24" i="76"/>
  <c r="Z23" i="76"/>
  <c r="X23" i="76"/>
  <c r="P23" i="76"/>
  <c r="N23" i="76"/>
  <c r="D23" i="76"/>
  <c r="L23" i="76" s="1"/>
  <c r="B23" i="76"/>
  <c r="Z22" i="76"/>
  <c r="P22" i="76"/>
  <c r="X22" i="76" s="1"/>
  <c r="N22" i="76"/>
  <c r="D22" i="76"/>
  <c r="L22" i="76" s="1"/>
  <c r="B22" i="76"/>
  <c r="Z21" i="76"/>
  <c r="X21" i="76"/>
  <c r="P21" i="76"/>
  <c r="N21" i="76"/>
  <c r="D21" i="76"/>
  <c r="L21" i="76" s="1"/>
  <c r="B21" i="76"/>
  <c r="Z20" i="76"/>
  <c r="P20" i="76"/>
  <c r="X20" i="76" s="1"/>
  <c r="N20" i="76"/>
  <c r="L20" i="76"/>
  <c r="D20" i="76"/>
  <c r="B20" i="76"/>
  <c r="X19" i="76"/>
  <c r="Z19" i="76" s="1"/>
  <c r="P19" i="76"/>
  <c r="D19" i="76"/>
  <c r="L19" i="76" s="1"/>
  <c r="N19" i="76" s="1"/>
  <c r="B19" i="76"/>
  <c r="Z18" i="76"/>
  <c r="X18" i="76"/>
  <c r="P18" i="76"/>
  <c r="N18" i="76"/>
  <c r="L18" i="76"/>
  <c r="D18" i="76"/>
  <c r="B18" i="76"/>
  <c r="Z17" i="76"/>
  <c r="X17" i="76"/>
  <c r="P17" i="76"/>
  <c r="N17" i="76"/>
  <c r="D17" i="76"/>
  <c r="L17" i="76" s="1"/>
  <c r="B17" i="76"/>
  <c r="Z16" i="76"/>
  <c r="P16" i="76"/>
  <c r="X16" i="76" s="1"/>
  <c r="N16" i="76"/>
  <c r="L16" i="76"/>
  <c r="D16" i="76"/>
  <c r="B16" i="76"/>
  <c r="Z15" i="76"/>
  <c r="P15" i="76"/>
  <c r="X15" i="76" s="1"/>
  <c r="N15" i="76"/>
  <c r="L15" i="76"/>
  <c r="D15" i="76"/>
  <c r="B15" i="76"/>
  <c r="Z14" i="76"/>
  <c r="P14" i="76"/>
  <c r="X14" i="76" s="1"/>
  <c r="N14" i="76"/>
  <c r="L14" i="76"/>
  <c r="D14" i="76"/>
  <c r="B14" i="76"/>
  <c r="X13" i="76"/>
  <c r="Z13" i="76" s="1"/>
  <c r="P13" i="76"/>
  <c r="D13" i="76"/>
  <c r="L13" i="76" s="1"/>
  <c r="N13" i="76" s="1"/>
  <c r="B13" i="76"/>
  <c r="T12" i="76"/>
  <c r="V84" i="76" s="1"/>
  <c r="H12" i="76"/>
  <c r="J86" i="76" s="1"/>
  <c r="D6" i="76"/>
  <c r="D4" i="76"/>
  <c r="Z84" i="75"/>
  <c r="X84" i="75"/>
  <c r="V84" i="75"/>
  <c r="N84" i="75"/>
  <c r="L84" i="75"/>
  <c r="Z80" i="75"/>
  <c r="X80" i="75"/>
  <c r="P80" i="75"/>
  <c r="L80" i="75"/>
  <c r="N80" i="75" s="1"/>
  <c r="D80" i="75"/>
  <c r="B80" i="75"/>
  <c r="X79" i="75"/>
  <c r="Z79" i="75" s="1"/>
  <c r="V79" i="75"/>
  <c r="T79" i="75"/>
  <c r="P79" i="75"/>
  <c r="L79" i="75"/>
  <c r="H79" i="75"/>
  <c r="N79" i="75" s="1"/>
  <c r="D79" i="75"/>
  <c r="Z77" i="75"/>
  <c r="X77" i="75"/>
  <c r="V77" i="75"/>
  <c r="N77" i="75"/>
  <c r="L77" i="75"/>
  <c r="B77" i="75"/>
  <c r="T76" i="75"/>
  <c r="Z76" i="75" s="1"/>
  <c r="P76" i="75"/>
  <c r="X76" i="75" s="1"/>
  <c r="N76" i="75"/>
  <c r="H76" i="75"/>
  <c r="D76" i="75"/>
  <c r="L76" i="75" s="1"/>
  <c r="B76" i="75"/>
  <c r="X75" i="75"/>
  <c r="Z75" i="75" s="1"/>
  <c r="N75" i="75"/>
  <c r="L75" i="75"/>
  <c r="B75" i="75"/>
  <c r="T74" i="75"/>
  <c r="P74" i="75"/>
  <c r="X74" i="75" s="1"/>
  <c r="Z74" i="75" s="1"/>
  <c r="L74" i="75"/>
  <c r="N74" i="75" s="1"/>
  <c r="H74" i="75"/>
  <c r="D74" i="75"/>
  <c r="B74" i="75"/>
  <c r="X73" i="75"/>
  <c r="Z73" i="75" s="1"/>
  <c r="L73" i="75"/>
  <c r="N73" i="75" s="1"/>
  <c r="J73" i="75"/>
  <c r="B73" i="75"/>
  <c r="Z72" i="75"/>
  <c r="X72" i="75"/>
  <c r="V72" i="75"/>
  <c r="N72" i="75"/>
  <c r="L72" i="75"/>
  <c r="B72" i="75"/>
  <c r="Z71" i="75"/>
  <c r="X71" i="75"/>
  <c r="L71" i="75"/>
  <c r="N71" i="75" s="1"/>
  <c r="B71" i="75"/>
  <c r="Z70" i="75"/>
  <c r="X70" i="75"/>
  <c r="V70" i="75"/>
  <c r="N70" i="75"/>
  <c r="L70" i="75"/>
  <c r="B70" i="75"/>
  <c r="Z69" i="75"/>
  <c r="X69" i="75"/>
  <c r="N69" i="75"/>
  <c r="L69" i="75"/>
  <c r="J69" i="75"/>
  <c r="B69" i="75"/>
  <c r="V68" i="75"/>
  <c r="T68" i="75"/>
  <c r="X68" i="75" s="1"/>
  <c r="Z68" i="75" s="1"/>
  <c r="P68" i="75"/>
  <c r="J68" i="75"/>
  <c r="H68" i="75"/>
  <c r="D68" i="75"/>
  <c r="B68" i="75"/>
  <c r="X67" i="75"/>
  <c r="Z67" i="75" s="1"/>
  <c r="L67" i="75"/>
  <c r="N67" i="75" s="1"/>
  <c r="B67" i="75"/>
  <c r="T66" i="75"/>
  <c r="P66" i="75"/>
  <c r="X66" i="75" s="1"/>
  <c r="Z66" i="75" s="1"/>
  <c r="H66" i="75"/>
  <c r="D66" i="75"/>
  <c r="L66" i="75" s="1"/>
  <c r="B66" i="75"/>
  <c r="X65" i="75"/>
  <c r="Z65" i="75" s="1"/>
  <c r="L65" i="75"/>
  <c r="N65" i="75" s="1"/>
  <c r="B65" i="75"/>
  <c r="Z64" i="75"/>
  <c r="X64" i="75"/>
  <c r="N64" i="75"/>
  <c r="L64" i="75"/>
  <c r="J64" i="75"/>
  <c r="B64" i="75"/>
  <c r="T63" i="75"/>
  <c r="P63" i="75"/>
  <c r="H63" i="75"/>
  <c r="N63" i="75" s="1"/>
  <c r="D63" i="75"/>
  <c r="L63" i="75" s="1"/>
  <c r="B63" i="75"/>
  <c r="X62" i="75"/>
  <c r="Z62" i="75" s="1"/>
  <c r="V62" i="75"/>
  <c r="N62" i="75"/>
  <c r="L62" i="75"/>
  <c r="B62" i="75"/>
  <c r="X61" i="75"/>
  <c r="Z61" i="75" s="1"/>
  <c r="L61" i="75"/>
  <c r="N61" i="75" s="1"/>
  <c r="J61" i="75"/>
  <c r="B61" i="75"/>
  <c r="Z60" i="75"/>
  <c r="X60" i="75"/>
  <c r="V60" i="75"/>
  <c r="T60" i="75"/>
  <c r="P60" i="75"/>
  <c r="J60" i="75"/>
  <c r="H60" i="75"/>
  <c r="D60" i="75"/>
  <c r="B60" i="75"/>
  <c r="X59" i="75"/>
  <c r="Z59" i="75" s="1"/>
  <c r="L59" i="75"/>
  <c r="N59" i="75" s="1"/>
  <c r="B59" i="75"/>
  <c r="T58" i="75"/>
  <c r="P58" i="75"/>
  <c r="X58" i="75" s="1"/>
  <c r="Z58" i="75" s="1"/>
  <c r="H58" i="75"/>
  <c r="N58" i="75" s="1"/>
  <c r="D58" i="75"/>
  <c r="L58" i="75" s="1"/>
  <c r="B58" i="75"/>
  <c r="X57" i="75"/>
  <c r="Z57" i="75" s="1"/>
  <c r="L57" i="75"/>
  <c r="N57" i="75" s="1"/>
  <c r="B57" i="75"/>
  <c r="X56" i="75"/>
  <c r="Z56" i="75" s="1"/>
  <c r="T56" i="75"/>
  <c r="P56" i="75"/>
  <c r="H56" i="75"/>
  <c r="D56" i="75"/>
  <c r="L56" i="75" s="1"/>
  <c r="N56" i="75" s="1"/>
  <c r="B56" i="75"/>
  <c r="Z55" i="75"/>
  <c r="X55" i="75"/>
  <c r="L55" i="75"/>
  <c r="N55" i="75" s="1"/>
  <c r="B55" i="75"/>
  <c r="V54" i="75"/>
  <c r="T54" i="75"/>
  <c r="P54" i="75"/>
  <c r="J54" i="75"/>
  <c r="H54" i="75"/>
  <c r="D54" i="75"/>
  <c r="L54" i="75" s="1"/>
  <c r="N54" i="75" s="1"/>
  <c r="B54" i="75"/>
  <c r="X53" i="75"/>
  <c r="Z53" i="75" s="1"/>
  <c r="V53" i="75"/>
  <c r="L53" i="75"/>
  <c r="N53" i="75" s="1"/>
  <c r="B53" i="75"/>
  <c r="T52" i="75"/>
  <c r="Z52" i="75" s="1"/>
  <c r="P52" i="75"/>
  <c r="X52" i="75" s="1"/>
  <c r="H52" i="75"/>
  <c r="D52" i="75"/>
  <c r="L52" i="75" s="1"/>
  <c r="N52" i="75" s="1"/>
  <c r="B52" i="75"/>
  <c r="Z51" i="75"/>
  <c r="X51" i="75"/>
  <c r="V51" i="75"/>
  <c r="N51" i="75"/>
  <c r="L51" i="75"/>
  <c r="B51" i="75"/>
  <c r="Z50" i="75"/>
  <c r="X50" i="75"/>
  <c r="N50" i="75"/>
  <c r="L50" i="75"/>
  <c r="J50" i="75"/>
  <c r="B50" i="75"/>
  <c r="Z49" i="75"/>
  <c r="X49" i="75"/>
  <c r="N49" i="75"/>
  <c r="L49" i="75"/>
  <c r="B49" i="75"/>
  <c r="Z48" i="75"/>
  <c r="X48" i="75"/>
  <c r="N48" i="75"/>
  <c r="L48" i="75"/>
  <c r="J48" i="75"/>
  <c r="B48" i="75"/>
  <c r="Z47" i="75"/>
  <c r="X47" i="75"/>
  <c r="V47" i="75"/>
  <c r="N47" i="75"/>
  <c r="L47" i="75"/>
  <c r="B47" i="75"/>
  <c r="Z46" i="75"/>
  <c r="X46" i="75"/>
  <c r="N46" i="75"/>
  <c r="L46" i="75"/>
  <c r="J46" i="75"/>
  <c r="B46" i="75"/>
  <c r="Z45" i="75"/>
  <c r="X45" i="75"/>
  <c r="N45" i="75"/>
  <c r="L45" i="75"/>
  <c r="B45" i="75"/>
  <c r="Z44" i="75"/>
  <c r="X44" i="75"/>
  <c r="V44" i="75"/>
  <c r="N44" i="75"/>
  <c r="L44" i="75"/>
  <c r="J44" i="75"/>
  <c r="B44" i="75"/>
  <c r="X43" i="75"/>
  <c r="Z43" i="75" s="1"/>
  <c r="V43" i="75"/>
  <c r="N43" i="75"/>
  <c r="L43" i="75"/>
  <c r="B43" i="75"/>
  <c r="Z42" i="75"/>
  <c r="X42" i="75"/>
  <c r="V42" i="75"/>
  <c r="N42" i="75"/>
  <c r="L42" i="75"/>
  <c r="J42" i="75"/>
  <c r="B42" i="75"/>
  <c r="T41" i="75"/>
  <c r="P41" i="75"/>
  <c r="X41" i="75" s="1"/>
  <c r="H41" i="75"/>
  <c r="D41" i="75"/>
  <c r="B41" i="75"/>
  <c r="Z40" i="75"/>
  <c r="X40" i="75"/>
  <c r="V40" i="75"/>
  <c r="N40" i="75"/>
  <c r="L40" i="75"/>
  <c r="B40" i="75"/>
  <c r="Z39" i="75"/>
  <c r="X39" i="75"/>
  <c r="L39" i="75"/>
  <c r="N39" i="75" s="1"/>
  <c r="B39" i="75"/>
  <c r="X38" i="75"/>
  <c r="Z38" i="75" s="1"/>
  <c r="V38" i="75"/>
  <c r="N38" i="75"/>
  <c r="L38" i="75"/>
  <c r="B38" i="75"/>
  <c r="Z37" i="75"/>
  <c r="X37" i="75"/>
  <c r="N37" i="75"/>
  <c r="L37" i="75"/>
  <c r="J37" i="75"/>
  <c r="B37" i="75"/>
  <c r="X36" i="75"/>
  <c r="Z36" i="75" s="1"/>
  <c r="V36" i="75"/>
  <c r="N36" i="75"/>
  <c r="L36" i="75"/>
  <c r="B36" i="75"/>
  <c r="Z35" i="75"/>
  <c r="X35" i="75"/>
  <c r="L35" i="75"/>
  <c r="N35" i="75" s="1"/>
  <c r="B35" i="75"/>
  <c r="X34" i="75"/>
  <c r="Z34" i="75" s="1"/>
  <c r="V34" i="75"/>
  <c r="N34" i="75"/>
  <c r="L34" i="75"/>
  <c r="B34" i="75"/>
  <c r="X33" i="75"/>
  <c r="Z33" i="75" s="1"/>
  <c r="L33" i="75"/>
  <c r="N33" i="75" s="1"/>
  <c r="J33" i="75"/>
  <c r="B33" i="75"/>
  <c r="X32" i="75"/>
  <c r="Z32" i="75" s="1"/>
  <c r="V32" i="75"/>
  <c r="N32" i="75"/>
  <c r="L32" i="75"/>
  <c r="B32" i="75"/>
  <c r="T31" i="75"/>
  <c r="P31" i="75"/>
  <c r="X31" i="75" s="1"/>
  <c r="Z31" i="75" s="1"/>
  <c r="H31" i="75"/>
  <c r="D31" i="75"/>
  <c r="L31" i="75" s="1"/>
  <c r="N31" i="75" s="1"/>
  <c r="B31" i="75"/>
  <c r="T30" i="75"/>
  <c r="P30" i="75"/>
  <c r="X30" i="75" s="1"/>
  <c r="Z30" i="75" s="1"/>
  <c r="H30" i="75"/>
  <c r="D30" i="75"/>
  <c r="L30" i="75" s="1"/>
  <c r="Z26" i="75"/>
  <c r="T26" i="75"/>
  <c r="T28" i="75" s="1"/>
  <c r="P26" i="75"/>
  <c r="X26" i="75" s="1"/>
  <c r="H26" i="75"/>
  <c r="N26" i="75" s="1"/>
  <c r="D26" i="75"/>
  <c r="L26" i="75" s="1"/>
  <c r="Z24" i="75"/>
  <c r="P24" i="75"/>
  <c r="X24" i="75" s="1"/>
  <c r="N24" i="75"/>
  <c r="L24" i="75"/>
  <c r="D24" i="75"/>
  <c r="B24" i="75"/>
  <c r="Z23" i="75"/>
  <c r="P23" i="75"/>
  <c r="X23" i="75" s="1"/>
  <c r="N23" i="75"/>
  <c r="L23" i="75"/>
  <c r="D23" i="75"/>
  <c r="B23" i="75"/>
  <c r="Z22" i="75"/>
  <c r="P22" i="75"/>
  <c r="X22" i="75" s="1"/>
  <c r="N22" i="75"/>
  <c r="L22" i="75"/>
  <c r="D22" i="75"/>
  <c r="B22" i="75"/>
  <c r="Z21" i="75"/>
  <c r="X21" i="75"/>
  <c r="P21" i="75"/>
  <c r="N21" i="75"/>
  <c r="D21" i="75"/>
  <c r="L21" i="75" s="1"/>
  <c r="B21" i="75"/>
  <c r="Z20" i="75"/>
  <c r="P20" i="75"/>
  <c r="X20" i="75" s="1"/>
  <c r="N20" i="75"/>
  <c r="D20" i="75"/>
  <c r="L20" i="75" s="1"/>
  <c r="B20" i="75"/>
  <c r="Z19" i="75"/>
  <c r="X19" i="75"/>
  <c r="P19" i="75"/>
  <c r="N19" i="75"/>
  <c r="D19" i="75"/>
  <c r="L19" i="75" s="1"/>
  <c r="B19" i="75"/>
  <c r="Z18" i="75"/>
  <c r="X18" i="75"/>
  <c r="P18" i="75"/>
  <c r="D18" i="75"/>
  <c r="L18" i="75" s="1"/>
  <c r="N18" i="75" s="1"/>
  <c r="B18" i="75"/>
  <c r="Z17" i="75"/>
  <c r="P17" i="75"/>
  <c r="X17" i="75" s="1"/>
  <c r="N17" i="75"/>
  <c r="D17" i="75"/>
  <c r="L17" i="75" s="1"/>
  <c r="B17" i="75"/>
  <c r="Z16" i="75"/>
  <c r="P16" i="75"/>
  <c r="X16" i="75" s="1"/>
  <c r="N16" i="75"/>
  <c r="L16" i="75"/>
  <c r="D16" i="75"/>
  <c r="B16" i="75"/>
  <c r="Z15" i="75"/>
  <c r="X15" i="75"/>
  <c r="P15" i="75"/>
  <c r="N15" i="75"/>
  <c r="L15" i="75"/>
  <c r="D15" i="75"/>
  <c r="B15" i="75"/>
  <c r="Z14" i="75"/>
  <c r="X14" i="75"/>
  <c r="P14" i="75"/>
  <c r="N14" i="75"/>
  <c r="D14" i="75"/>
  <c r="L14" i="75" s="1"/>
  <c r="B14" i="75"/>
  <c r="X13" i="75"/>
  <c r="Z13" i="75" s="1"/>
  <c r="P13" i="75"/>
  <c r="D13" i="75"/>
  <c r="B13" i="75"/>
  <c r="T12" i="75"/>
  <c r="V71" i="75" s="1"/>
  <c r="H12" i="75"/>
  <c r="J75" i="75" s="1"/>
  <c r="D6" i="75"/>
  <c r="D4" i="75"/>
  <c r="Z151" i="74"/>
  <c r="X151" i="74"/>
  <c r="L151" i="74"/>
  <c r="N151" i="74" s="1"/>
  <c r="Z147" i="74"/>
  <c r="P147" i="74"/>
  <c r="X147" i="74" s="1"/>
  <c r="N147" i="74"/>
  <c r="L147" i="74"/>
  <c r="D147" i="74"/>
  <c r="D144" i="74" s="1"/>
  <c r="L144" i="74" s="1"/>
  <c r="N144" i="74" s="1"/>
  <c r="B147" i="74"/>
  <c r="P146" i="74"/>
  <c r="X146" i="74" s="1"/>
  <c r="Z146" i="74" s="1"/>
  <c r="N146" i="74"/>
  <c r="L146" i="74"/>
  <c r="D146" i="74"/>
  <c r="B146" i="74"/>
  <c r="Z145" i="74"/>
  <c r="X145" i="74"/>
  <c r="P145" i="74"/>
  <c r="L145" i="74"/>
  <c r="N145" i="74" s="1"/>
  <c r="J145" i="74"/>
  <c r="D145" i="74"/>
  <c r="B145" i="74"/>
  <c r="T144" i="74"/>
  <c r="J144" i="74"/>
  <c r="H144" i="74"/>
  <c r="Z142" i="74"/>
  <c r="X142" i="74"/>
  <c r="N142" i="74"/>
  <c r="L142" i="74"/>
  <c r="B142" i="74"/>
  <c r="Z141" i="74"/>
  <c r="X141" i="74"/>
  <c r="N141" i="74"/>
  <c r="L141" i="74"/>
  <c r="B141" i="74"/>
  <c r="X140" i="74"/>
  <c r="Z140" i="74" s="1"/>
  <c r="V140" i="74"/>
  <c r="T140" i="74"/>
  <c r="P140" i="74"/>
  <c r="L140" i="74"/>
  <c r="H140" i="74"/>
  <c r="N140" i="74" s="1"/>
  <c r="D140" i="74"/>
  <c r="B140" i="74"/>
  <c r="Z139" i="74"/>
  <c r="X139" i="74"/>
  <c r="N139" i="74"/>
  <c r="L139" i="74"/>
  <c r="B139" i="74"/>
  <c r="T138" i="74"/>
  <c r="P138" i="74"/>
  <c r="X138" i="74" s="1"/>
  <c r="H138" i="74"/>
  <c r="N138" i="74" s="1"/>
  <c r="D138" i="74"/>
  <c r="L138" i="74" s="1"/>
  <c r="B138" i="74"/>
  <c r="X137" i="74"/>
  <c r="Z137" i="74" s="1"/>
  <c r="V137" i="74"/>
  <c r="N137" i="74"/>
  <c r="L137" i="74"/>
  <c r="B137" i="74"/>
  <c r="T136" i="74"/>
  <c r="P136" i="74"/>
  <c r="X136" i="74" s="1"/>
  <c r="Z136" i="74" s="1"/>
  <c r="N136" i="74"/>
  <c r="H136" i="74"/>
  <c r="D136" i="74"/>
  <c r="L136" i="74" s="1"/>
  <c r="B136" i="74"/>
  <c r="Z135" i="74"/>
  <c r="X135" i="74"/>
  <c r="L135" i="74"/>
  <c r="N135" i="74" s="1"/>
  <c r="B135" i="74"/>
  <c r="X134" i="74"/>
  <c r="Z134" i="74" s="1"/>
  <c r="L134" i="74"/>
  <c r="N134" i="74" s="1"/>
  <c r="B134" i="74"/>
  <c r="Z133" i="74"/>
  <c r="X133" i="74"/>
  <c r="N133" i="74"/>
  <c r="L133" i="74"/>
  <c r="B133" i="74"/>
  <c r="X132" i="74"/>
  <c r="Z132" i="74" s="1"/>
  <c r="V132" i="74"/>
  <c r="L132" i="74"/>
  <c r="N132" i="74" s="1"/>
  <c r="B132" i="74"/>
  <c r="Z131" i="74"/>
  <c r="X131" i="74"/>
  <c r="N131" i="74"/>
  <c r="L131" i="74"/>
  <c r="B131" i="74"/>
  <c r="X130" i="74"/>
  <c r="Z130" i="74" s="1"/>
  <c r="L130" i="74"/>
  <c r="N130" i="74" s="1"/>
  <c r="B130" i="74"/>
  <c r="Z129" i="74"/>
  <c r="X129" i="74"/>
  <c r="N129" i="74"/>
  <c r="L129" i="74"/>
  <c r="B129" i="74"/>
  <c r="X128" i="74"/>
  <c r="Z128" i="74" s="1"/>
  <c r="V128" i="74"/>
  <c r="T128" i="74"/>
  <c r="P128" i="74"/>
  <c r="L128" i="74"/>
  <c r="H128" i="74"/>
  <c r="N128" i="74" s="1"/>
  <c r="D128" i="74"/>
  <c r="B128" i="74"/>
  <c r="Z127" i="74"/>
  <c r="X127" i="74"/>
  <c r="N127" i="74"/>
  <c r="L127" i="74"/>
  <c r="J127" i="74"/>
  <c r="B127" i="74"/>
  <c r="X126" i="74"/>
  <c r="Z126" i="74" s="1"/>
  <c r="N126" i="74"/>
  <c r="L126" i="74"/>
  <c r="B126" i="74"/>
  <c r="T125" i="74"/>
  <c r="P125" i="74"/>
  <c r="X125" i="74" s="1"/>
  <c r="Z125" i="74" s="1"/>
  <c r="N125" i="74"/>
  <c r="L125" i="74"/>
  <c r="H125" i="74"/>
  <c r="D125" i="74"/>
  <c r="B125" i="74"/>
  <c r="X124" i="74"/>
  <c r="Z124" i="74" s="1"/>
  <c r="L124" i="74"/>
  <c r="N124" i="74" s="1"/>
  <c r="J124" i="74"/>
  <c r="B124" i="74"/>
  <c r="X123" i="74"/>
  <c r="Z123" i="74" s="1"/>
  <c r="V123" i="74"/>
  <c r="N123" i="74"/>
  <c r="L123" i="74"/>
  <c r="B123" i="74"/>
  <c r="Z122" i="74"/>
  <c r="X122" i="74"/>
  <c r="L122" i="74"/>
  <c r="N122" i="74" s="1"/>
  <c r="B122" i="74"/>
  <c r="T121" i="74"/>
  <c r="P121" i="74"/>
  <c r="J121" i="74"/>
  <c r="H121" i="74"/>
  <c r="D121" i="74"/>
  <c r="B121" i="74"/>
  <c r="X120" i="74"/>
  <c r="Z120" i="74" s="1"/>
  <c r="V120" i="74"/>
  <c r="L120" i="74"/>
  <c r="N120" i="74" s="1"/>
  <c r="B120" i="74"/>
  <c r="T119" i="74"/>
  <c r="P119" i="74"/>
  <c r="X119" i="74" s="1"/>
  <c r="H119" i="74"/>
  <c r="D119" i="74"/>
  <c r="L119" i="74" s="1"/>
  <c r="N119" i="74" s="1"/>
  <c r="B119" i="74"/>
  <c r="X118" i="74"/>
  <c r="Z118" i="74" s="1"/>
  <c r="N118" i="74"/>
  <c r="L118" i="74"/>
  <c r="B118" i="74"/>
  <c r="T117" i="74"/>
  <c r="P117" i="74"/>
  <c r="X117" i="74" s="1"/>
  <c r="Z117" i="74" s="1"/>
  <c r="N117" i="74"/>
  <c r="L117" i="74"/>
  <c r="H117" i="74"/>
  <c r="D117" i="74"/>
  <c r="B117" i="74"/>
  <c r="X116" i="74"/>
  <c r="Z116" i="74" s="1"/>
  <c r="L116" i="74"/>
  <c r="N116" i="74" s="1"/>
  <c r="J116" i="74"/>
  <c r="B116" i="74"/>
  <c r="V115" i="74"/>
  <c r="T115" i="74"/>
  <c r="P115" i="74"/>
  <c r="H115" i="74"/>
  <c r="D115" i="74"/>
  <c r="B115" i="74"/>
  <c r="X114" i="74"/>
  <c r="Z114" i="74" s="1"/>
  <c r="N114" i="74"/>
  <c r="L114" i="74"/>
  <c r="B114" i="74"/>
  <c r="T113" i="74"/>
  <c r="P113" i="74"/>
  <c r="X113" i="74" s="1"/>
  <c r="Z113" i="74" s="1"/>
  <c r="H113" i="74"/>
  <c r="N113" i="74" s="1"/>
  <c r="D113" i="74"/>
  <c r="L113" i="74" s="1"/>
  <c r="B113" i="74"/>
  <c r="X112" i="74"/>
  <c r="Z112" i="74" s="1"/>
  <c r="L112" i="74"/>
  <c r="N112" i="74" s="1"/>
  <c r="B112" i="74"/>
  <c r="Z111" i="74"/>
  <c r="X111" i="74"/>
  <c r="N111" i="74"/>
  <c r="L111" i="74"/>
  <c r="J111" i="74"/>
  <c r="B111" i="74"/>
  <c r="T110" i="74"/>
  <c r="P110" i="74"/>
  <c r="X110" i="74" s="1"/>
  <c r="H110" i="74"/>
  <c r="D110" i="74"/>
  <c r="L110" i="74" s="1"/>
  <c r="B110" i="74"/>
  <c r="X109" i="74"/>
  <c r="Z109" i="74" s="1"/>
  <c r="V109" i="74"/>
  <c r="N109" i="74"/>
  <c r="L109" i="74"/>
  <c r="B109" i="74"/>
  <c r="T108" i="74"/>
  <c r="P108" i="74"/>
  <c r="X108" i="74" s="1"/>
  <c r="Z108" i="74" s="1"/>
  <c r="N108" i="74"/>
  <c r="H108" i="74"/>
  <c r="D108" i="74"/>
  <c r="L108" i="74" s="1"/>
  <c r="B108" i="74"/>
  <c r="Z107" i="74"/>
  <c r="X107" i="74"/>
  <c r="L107" i="74"/>
  <c r="N107" i="74" s="1"/>
  <c r="B107" i="74"/>
  <c r="X106" i="74"/>
  <c r="T106" i="74"/>
  <c r="Z106" i="74" s="1"/>
  <c r="P106" i="74"/>
  <c r="L106" i="74"/>
  <c r="N106" i="74" s="1"/>
  <c r="J106" i="74"/>
  <c r="H106" i="74"/>
  <c r="D106" i="74"/>
  <c r="B106" i="74"/>
  <c r="Z105" i="74"/>
  <c r="X105" i="74"/>
  <c r="N105" i="74"/>
  <c r="L105" i="74"/>
  <c r="J105" i="74"/>
  <c r="B105" i="74"/>
  <c r="T104" i="74"/>
  <c r="Z104" i="74" s="1"/>
  <c r="P104" i="74"/>
  <c r="X104" i="74" s="1"/>
  <c r="H104" i="74"/>
  <c r="N104" i="74" s="1"/>
  <c r="D104" i="74"/>
  <c r="L104" i="74" s="1"/>
  <c r="B104" i="74"/>
  <c r="Z103" i="74"/>
  <c r="X103" i="74"/>
  <c r="V103" i="74"/>
  <c r="N103" i="74"/>
  <c r="L103" i="74"/>
  <c r="B103" i="74"/>
  <c r="Z102" i="74"/>
  <c r="T102" i="74"/>
  <c r="P102" i="74"/>
  <c r="X102" i="74" s="1"/>
  <c r="N102" i="74"/>
  <c r="H102" i="74"/>
  <c r="D102" i="74"/>
  <c r="L102" i="74" s="1"/>
  <c r="B102" i="74"/>
  <c r="Z101" i="74"/>
  <c r="X101" i="74"/>
  <c r="N101" i="74"/>
  <c r="L101" i="74"/>
  <c r="B101" i="74"/>
  <c r="X100" i="74"/>
  <c r="Z100" i="74" s="1"/>
  <c r="V100" i="74"/>
  <c r="T100" i="74"/>
  <c r="P100" i="74"/>
  <c r="L100" i="74"/>
  <c r="H100" i="74"/>
  <c r="D100" i="74"/>
  <c r="B100" i="74"/>
  <c r="Z99" i="74"/>
  <c r="X99" i="74"/>
  <c r="N99" i="74"/>
  <c r="L99" i="74"/>
  <c r="J99" i="74"/>
  <c r="B99" i="74"/>
  <c r="Z98" i="74"/>
  <c r="X98" i="74"/>
  <c r="N98" i="74"/>
  <c r="L98" i="74"/>
  <c r="B98" i="74"/>
  <c r="Z97" i="74"/>
  <c r="X97" i="74"/>
  <c r="L97" i="74"/>
  <c r="N97" i="74" s="1"/>
  <c r="J97" i="74"/>
  <c r="B97" i="74"/>
  <c r="X96" i="74"/>
  <c r="Z96" i="74" s="1"/>
  <c r="N96" i="74"/>
  <c r="L96" i="74"/>
  <c r="B96" i="74"/>
  <c r="Z95" i="74"/>
  <c r="X95" i="74"/>
  <c r="N95" i="74"/>
  <c r="L95" i="74"/>
  <c r="J95" i="74"/>
  <c r="B95" i="74"/>
  <c r="Z94" i="74"/>
  <c r="X94" i="74"/>
  <c r="N94" i="74"/>
  <c r="L94" i="74"/>
  <c r="B94" i="74"/>
  <c r="Z93" i="74"/>
  <c r="X93" i="74"/>
  <c r="L93" i="74"/>
  <c r="N93" i="74" s="1"/>
  <c r="J93" i="74"/>
  <c r="B93" i="74"/>
  <c r="Z92" i="74"/>
  <c r="X92" i="74"/>
  <c r="N92" i="74"/>
  <c r="L92" i="74"/>
  <c r="B92" i="74"/>
  <c r="Z91" i="74"/>
  <c r="X91" i="74"/>
  <c r="L91" i="74"/>
  <c r="N91" i="74" s="1"/>
  <c r="J91" i="74"/>
  <c r="B91" i="74"/>
  <c r="Z90" i="74"/>
  <c r="X90" i="74"/>
  <c r="N90" i="74"/>
  <c r="L90" i="74"/>
  <c r="B90" i="74"/>
  <c r="Z89" i="74"/>
  <c r="T89" i="74"/>
  <c r="P89" i="74"/>
  <c r="X89" i="74" s="1"/>
  <c r="N89" i="74"/>
  <c r="L89" i="74"/>
  <c r="H89" i="74"/>
  <c r="D89" i="74"/>
  <c r="B89" i="74"/>
  <c r="X88" i="74"/>
  <c r="Z88" i="74" s="1"/>
  <c r="L88" i="74"/>
  <c r="N88" i="74" s="1"/>
  <c r="J88" i="74"/>
  <c r="B88" i="74"/>
  <c r="X87" i="74"/>
  <c r="Z87" i="74" s="1"/>
  <c r="V87" i="74"/>
  <c r="N87" i="74"/>
  <c r="L87" i="74"/>
  <c r="B87" i="74"/>
  <c r="Z86" i="74"/>
  <c r="X86" i="74"/>
  <c r="L86" i="74"/>
  <c r="N86" i="74" s="1"/>
  <c r="B86" i="74"/>
  <c r="Z85" i="74"/>
  <c r="X85" i="74"/>
  <c r="V85" i="74"/>
  <c r="N85" i="74"/>
  <c r="L85" i="74"/>
  <c r="B85" i="74"/>
  <c r="X84" i="74"/>
  <c r="Z84" i="74" s="1"/>
  <c r="L84" i="74"/>
  <c r="N84" i="74" s="1"/>
  <c r="J84" i="74"/>
  <c r="B84" i="74"/>
  <c r="X83" i="74"/>
  <c r="Z83" i="74" s="1"/>
  <c r="V83" i="74"/>
  <c r="N83" i="74"/>
  <c r="L83" i="74"/>
  <c r="B83" i="74"/>
  <c r="Z82" i="74"/>
  <c r="X82" i="74"/>
  <c r="L82" i="74"/>
  <c r="N82" i="74" s="1"/>
  <c r="B82" i="74"/>
  <c r="X81" i="74"/>
  <c r="Z81" i="74" s="1"/>
  <c r="V81" i="74"/>
  <c r="N81" i="74"/>
  <c r="L81" i="74"/>
  <c r="B81" i="74"/>
  <c r="X80" i="74"/>
  <c r="Z80" i="74" s="1"/>
  <c r="L80" i="74"/>
  <c r="N80" i="74" s="1"/>
  <c r="J80" i="74"/>
  <c r="B80" i="74"/>
  <c r="X79" i="74"/>
  <c r="V79" i="74"/>
  <c r="T79" i="74"/>
  <c r="Z79" i="74" s="1"/>
  <c r="P79" i="74"/>
  <c r="H79" i="74"/>
  <c r="D79" i="74"/>
  <c r="B79" i="74"/>
  <c r="X78" i="74"/>
  <c r="T78" i="74"/>
  <c r="Z78" i="74" s="1"/>
  <c r="P78" i="74"/>
  <c r="L78" i="74"/>
  <c r="N78" i="74" s="1"/>
  <c r="J78" i="74"/>
  <c r="H78" i="74"/>
  <c r="D78" i="74"/>
  <c r="Z74" i="74"/>
  <c r="X74" i="74"/>
  <c r="N74" i="74"/>
  <c r="L74" i="74"/>
  <c r="B74" i="74"/>
  <c r="Z73" i="74"/>
  <c r="X73" i="74"/>
  <c r="N73" i="74"/>
  <c r="L73" i="74"/>
  <c r="B73" i="74"/>
  <c r="Z72" i="74"/>
  <c r="X72" i="74"/>
  <c r="V72" i="74"/>
  <c r="N72" i="74"/>
  <c r="L72" i="74"/>
  <c r="B72" i="74"/>
  <c r="Z71" i="74"/>
  <c r="X71" i="74"/>
  <c r="N71" i="74"/>
  <c r="L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V68" i="74"/>
  <c r="N68" i="74"/>
  <c r="L68" i="74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X64" i="74"/>
  <c r="V64" i="74"/>
  <c r="N64" i="74"/>
  <c r="L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V60" i="74"/>
  <c r="N60" i="74"/>
  <c r="L60" i="74"/>
  <c r="B60" i="74"/>
  <c r="Z59" i="74"/>
  <c r="X59" i="74"/>
  <c r="N59" i="74"/>
  <c r="L59" i="74"/>
  <c r="B59" i="74"/>
  <c r="Z58" i="74"/>
  <c r="X58" i="74"/>
  <c r="V58" i="74"/>
  <c r="N58" i="74"/>
  <c r="L58" i="74"/>
  <c r="B58" i="74"/>
  <c r="Z57" i="74"/>
  <c r="X57" i="74"/>
  <c r="V57" i="74"/>
  <c r="N57" i="74"/>
  <c r="L57" i="74"/>
  <c r="B57" i="74"/>
  <c r="Z56" i="74"/>
  <c r="X56" i="74"/>
  <c r="V56" i="74"/>
  <c r="N56" i="74"/>
  <c r="L56" i="74"/>
  <c r="B56" i="74"/>
  <c r="Z55" i="74"/>
  <c r="X55" i="74"/>
  <c r="N55" i="74"/>
  <c r="L55" i="74"/>
  <c r="B55" i="74"/>
  <c r="Z54" i="74"/>
  <c r="X54" i="74"/>
  <c r="V54" i="74"/>
  <c r="N54" i="74"/>
  <c r="L54" i="74"/>
  <c r="B54" i="74"/>
  <c r="Z53" i="74"/>
  <c r="X53" i="74"/>
  <c r="V53" i="74"/>
  <c r="N53" i="74"/>
  <c r="L53" i="74"/>
  <c r="B53" i="74"/>
  <c r="X52" i="74"/>
  <c r="Z52" i="74" s="1"/>
  <c r="V52" i="74"/>
  <c r="T52" i="74"/>
  <c r="P52" i="74"/>
  <c r="L52" i="74"/>
  <c r="H52" i="74"/>
  <c r="N52" i="74" s="1"/>
  <c r="D52" i="74"/>
  <c r="Z50" i="74"/>
  <c r="X50" i="74"/>
  <c r="P50" i="74"/>
  <c r="N50" i="74"/>
  <c r="D50" i="74"/>
  <c r="L50" i="74" s="1"/>
  <c r="B50" i="74"/>
  <c r="Z49" i="74"/>
  <c r="X49" i="74"/>
  <c r="P49" i="74"/>
  <c r="N49" i="74"/>
  <c r="D49" i="74"/>
  <c r="L49" i="74" s="1"/>
  <c r="B49" i="74"/>
  <c r="Z48" i="74"/>
  <c r="X48" i="74"/>
  <c r="P48" i="74"/>
  <c r="N48" i="74"/>
  <c r="D48" i="74"/>
  <c r="L48" i="74" s="1"/>
  <c r="B48" i="74"/>
  <c r="Z47" i="74"/>
  <c r="P47" i="74"/>
  <c r="X47" i="74" s="1"/>
  <c r="N47" i="74"/>
  <c r="D47" i="74"/>
  <c r="L47" i="74" s="1"/>
  <c r="B47" i="74"/>
  <c r="Z46" i="74"/>
  <c r="X46" i="74"/>
  <c r="P46" i="74"/>
  <c r="N46" i="74"/>
  <c r="L46" i="74"/>
  <c r="D46" i="74"/>
  <c r="B46" i="74"/>
  <c r="Z45" i="74"/>
  <c r="P45" i="74"/>
  <c r="X45" i="74" s="1"/>
  <c r="N45" i="74"/>
  <c r="L45" i="74"/>
  <c r="D45" i="74"/>
  <c r="B45" i="74"/>
  <c r="Z44" i="74"/>
  <c r="X44" i="74"/>
  <c r="P44" i="74"/>
  <c r="N44" i="74"/>
  <c r="D44" i="74"/>
  <c r="L44" i="74" s="1"/>
  <c r="B44" i="74"/>
  <c r="Z43" i="74"/>
  <c r="X43" i="74"/>
  <c r="P43" i="74"/>
  <c r="N43" i="74"/>
  <c r="L43" i="74"/>
  <c r="D43" i="74"/>
  <c r="B43" i="74"/>
  <c r="Z42" i="74"/>
  <c r="X42" i="74"/>
  <c r="P42" i="74"/>
  <c r="N42" i="74"/>
  <c r="D42" i="74"/>
  <c r="L42" i="74" s="1"/>
  <c r="B42" i="74"/>
  <c r="Z41" i="74"/>
  <c r="P41" i="74"/>
  <c r="X41" i="74" s="1"/>
  <c r="N41" i="74"/>
  <c r="L41" i="74"/>
  <c r="D41" i="74"/>
  <c r="B41" i="74"/>
  <c r="Z40" i="74"/>
  <c r="P40" i="74"/>
  <c r="X40" i="74" s="1"/>
  <c r="N40" i="74"/>
  <c r="L40" i="74"/>
  <c r="D40" i="74"/>
  <c r="B40" i="74"/>
  <c r="Z39" i="74"/>
  <c r="P39" i="74"/>
  <c r="X39" i="74" s="1"/>
  <c r="N39" i="74"/>
  <c r="L39" i="74"/>
  <c r="D39" i="74"/>
  <c r="B39" i="74"/>
  <c r="Z38" i="74"/>
  <c r="X38" i="74"/>
  <c r="P38" i="74"/>
  <c r="N38" i="74"/>
  <c r="D38" i="74"/>
  <c r="L38" i="74" s="1"/>
  <c r="B38" i="74"/>
  <c r="Z37" i="74"/>
  <c r="X37" i="74"/>
  <c r="P37" i="74"/>
  <c r="N37" i="74"/>
  <c r="D37" i="74"/>
  <c r="L37" i="74" s="1"/>
  <c r="B37" i="74"/>
  <c r="Z36" i="74"/>
  <c r="X36" i="74"/>
  <c r="P36" i="74"/>
  <c r="N36" i="74"/>
  <c r="D36" i="74"/>
  <c r="L36" i="74" s="1"/>
  <c r="B36" i="74"/>
  <c r="Z35" i="74"/>
  <c r="P35" i="74"/>
  <c r="X35" i="74" s="1"/>
  <c r="N35" i="74"/>
  <c r="L35" i="74"/>
  <c r="D35" i="74"/>
  <c r="B35" i="74"/>
  <c r="Z34" i="74"/>
  <c r="X34" i="74"/>
  <c r="P34" i="74"/>
  <c r="N34" i="74"/>
  <c r="L34" i="74"/>
  <c r="D34" i="74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D32" i="74"/>
  <c r="L32" i="74" s="1"/>
  <c r="B32" i="74"/>
  <c r="Z31" i="74"/>
  <c r="X31" i="74"/>
  <c r="P31" i="74"/>
  <c r="N31" i="74"/>
  <c r="L31" i="74"/>
  <c r="D31" i="74"/>
  <c r="B31" i="74"/>
  <c r="Z30" i="74"/>
  <c r="X30" i="74"/>
  <c r="P30" i="74"/>
  <c r="N30" i="74"/>
  <c r="D30" i="74"/>
  <c r="L30" i="74" s="1"/>
  <c r="B30" i="74"/>
  <c r="Z29" i="74"/>
  <c r="P29" i="74"/>
  <c r="X29" i="74" s="1"/>
  <c r="N29" i="74"/>
  <c r="L29" i="74"/>
  <c r="D29" i="74"/>
  <c r="B29" i="74"/>
  <c r="Z28" i="74"/>
  <c r="P28" i="74"/>
  <c r="X28" i="74" s="1"/>
  <c r="N28" i="74"/>
  <c r="L28" i="74"/>
  <c r="D28" i="74"/>
  <c r="B28" i="74"/>
  <c r="Z27" i="74"/>
  <c r="P27" i="74"/>
  <c r="X27" i="74" s="1"/>
  <c r="N27" i="74"/>
  <c r="L27" i="74"/>
  <c r="D27" i="74"/>
  <c r="B27" i="74"/>
  <c r="Z26" i="74"/>
  <c r="P26" i="74"/>
  <c r="X26" i="74" s="1"/>
  <c r="N26" i="74"/>
  <c r="D26" i="74"/>
  <c r="L26" i="74" s="1"/>
  <c r="B26" i="74"/>
  <c r="Z25" i="74"/>
  <c r="X25" i="74"/>
  <c r="P25" i="74"/>
  <c r="N25" i="74"/>
  <c r="D25" i="74"/>
  <c r="L25" i="74" s="1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L23" i="74"/>
  <c r="D23" i="74"/>
  <c r="B23" i="74"/>
  <c r="Z22" i="74"/>
  <c r="X22" i="74"/>
  <c r="P22" i="74"/>
  <c r="N22" i="74"/>
  <c r="L22" i="74"/>
  <c r="D22" i="74"/>
  <c r="B22" i="74"/>
  <c r="Z21" i="74"/>
  <c r="P21" i="74"/>
  <c r="X21" i="74" s="1"/>
  <c r="N21" i="74"/>
  <c r="L21" i="74"/>
  <c r="D21" i="74"/>
  <c r="B21" i="74"/>
  <c r="Z20" i="74"/>
  <c r="X20" i="74"/>
  <c r="P20" i="74"/>
  <c r="N20" i="74"/>
  <c r="D20" i="74"/>
  <c r="L20" i="74" s="1"/>
  <c r="B20" i="74"/>
  <c r="Z19" i="74"/>
  <c r="X19" i="74"/>
  <c r="P19" i="74"/>
  <c r="N19" i="74"/>
  <c r="L19" i="74"/>
  <c r="D19" i="74"/>
  <c r="B19" i="74"/>
  <c r="Z18" i="74"/>
  <c r="X18" i="74"/>
  <c r="P18" i="74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P16" i="74"/>
  <c r="X16" i="74" s="1"/>
  <c r="N16" i="74"/>
  <c r="L16" i="74"/>
  <c r="D16" i="74"/>
  <c r="B16" i="74"/>
  <c r="Z15" i="74"/>
  <c r="P15" i="74"/>
  <c r="X15" i="74" s="1"/>
  <c r="N15" i="74"/>
  <c r="L15" i="74"/>
  <c r="D15" i="74"/>
  <c r="B15" i="74"/>
  <c r="Z14" i="74"/>
  <c r="P14" i="74"/>
  <c r="N14" i="74"/>
  <c r="D14" i="74"/>
  <c r="L14" i="74" s="1"/>
  <c r="B14" i="74"/>
  <c r="Z13" i="74"/>
  <c r="X13" i="74"/>
  <c r="P13" i="74"/>
  <c r="D13" i="74"/>
  <c r="L13" i="74" s="1"/>
  <c r="N13" i="74" s="1"/>
  <c r="B13" i="74"/>
  <c r="T12" i="74"/>
  <c r="V122" i="74" s="1"/>
  <c r="H12" i="74"/>
  <c r="J147" i="74" s="1"/>
  <c r="D6" i="74"/>
  <c r="D4" i="74"/>
  <c r="X72" i="72"/>
  <c r="Z72" i="72" s="1"/>
  <c r="L72" i="72"/>
  <c r="N72" i="72" s="1"/>
  <c r="F72" i="72"/>
  <c r="Z68" i="72"/>
  <c r="T68" i="72"/>
  <c r="P68" i="72"/>
  <c r="X68" i="72" s="1"/>
  <c r="N68" i="72"/>
  <c r="H68" i="72"/>
  <c r="D68" i="72"/>
  <c r="L68" i="72" s="1"/>
  <c r="Z66" i="72"/>
  <c r="X66" i="72"/>
  <c r="N66" i="72"/>
  <c r="L66" i="72"/>
  <c r="B66" i="72"/>
  <c r="T65" i="72"/>
  <c r="P65" i="72"/>
  <c r="N65" i="72"/>
  <c r="J65" i="72"/>
  <c r="H65" i="72"/>
  <c r="L65" i="72" s="1"/>
  <c r="D65" i="72"/>
  <c r="B65" i="72"/>
  <c r="X64" i="72"/>
  <c r="Z64" i="72" s="1"/>
  <c r="V64" i="72"/>
  <c r="N64" i="72"/>
  <c r="L64" i="72"/>
  <c r="B64" i="72"/>
  <c r="T63" i="72"/>
  <c r="P63" i="72"/>
  <c r="X63" i="72" s="1"/>
  <c r="Z63" i="72" s="1"/>
  <c r="N63" i="72"/>
  <c r="H63" i="72"/>
  <c r="F63" i="72"/>
  <c r="D63" i="72"/>
  <c r="L63" i="72" s="1"/>
  <c r="B63" i="72"/>
  <c r="Z62" i="72"/>
  <c r="X62" i="72"/>
  <c r="N62" i="72"/>
  <c r="L62" i="72"/>
  <c r="B62" i="72"/>
  <c r="Z61" i="72"/>
  <c r="X61" i="72"/>
  <c r="L61" i="72"/>
  <c r="N61" i="72" s="1"/>
  <c r="J61" i="72"/>
  <c r="B61" i="72"/>
  <c r="T60" i="72"/>
  <c r="P60" i="72"/>
  <c r="H60" i="72"/>
  <c r="D60" i="72"/>
  <c r="L60" i="72" s="1"/>
  <c r="B60" i="72"/>
  <c r="Z59" i="72"/>
  <c r="X59" i="72"/>
  <c r="N59" i="72"/>
  <c r="L59" i="72"/>
  <c r="B59" i="72"/>
  <c r="Z58" i="72"/>
  <c r="X58" i="72"/>
  <c r="L58" i="72"/>
  <c r="N58" i="72" s="1"/>
  <c r="B58" i="72"/>
  <c r="Z57" i="72"/>
  <c r="X57" i="72"/>
  <c r="N57" i="72"/>
  <c r="L57" i="72"/>
  <c r="B57" i="72"/>
  <c r="T56" i="72"/>
  <c r="P56" i="72"/>
  <c r="X56" i="72" s="1"/>
  <c r="Z56" i="72" s="1"/>
  <c r="N56" i="72"/>
  <c r="H56" i="72"/>
  <c r="D56" i="72"/>
  <c r="L56" i="72" s="1"/>
  <c r="B56" i="72"/>
  <c r="Z55" i="72"/>
  <c r="X55" i="72"/>
  <c r="N55" i="72"/>
  <c r="L55" i="72"/>
  <c r="B55" i="72"/>
  <c r="X54" i="72"/>
  <c r="T54" i="72"/>
  <c r="Z54" i="72" s="1"/>
  <c r="P54" i="72"/>
  <c r="L54" i="72"/>
  <c r="J54" i="72"/>
  <c r="H54" i="72"/>
  <c r="D54" i="72"/>
  <c r="B54" i="72"/>
  <c r="Z53" i="72"/>
  <c r="X53" i="72"/>
  <c r="N53" i="72"/>
  <c r="L53" i="72"/>
  <c r="J53" i="72"/>
  <c r="F53" i="72"/>
  <c r="B53" i="72"/>
  <c r="Z52" i="72"/>
  <c r="X52" i="72"/>
  <c r="N52" i="72"/>
  <c r="L52" i="72"/>
  <c r="B52" i="72"/>
  <c r="Z51" i="72"/>
  <c r="X51" i="72"/>
  <c r="T51" i="72"/>
  <c r="P51" i="72"/>
  <c r="N51" i="72"/>
  <c r="L51" i="72"/>
  <c r="H51" i="72"/>
  <c r="D51" i="72"/>
  <c r="B51" i="72"/>
  <c r="Z50" i="72"/>
  <c r="X50" i="72"/>
  <c r="N50" i="72"/>
  <c r="L50" i="72"/>
  <c r="B50" i="72"/>
  <c r="T49" i="72"/>
  <c r="P49" i="72"/>
  <c r="N49" i="72"/>
  <c r="J49" i="72"/>
  <c r="H49" i="72"/>
  <c r="L49" i="72" s="1"/>
  <c r="D49" i="72"/>
  <c r="B49" i="72"/>
  <c r="Z48" i="72"/>
  <c r="X48" i="72"/>
  <c r="N48" i="72"/>
  <c r="L48" i="72"/>
  <c r="F48" i="72"/>
  <c r="B48" i="72"/>
  <c r="Z47" i="72"/>
  <c r="T47" i="72"/>
  <c r="P47" i="72"/>
  <c r="X47" i="72" s="1"/>
  <c r="N47" i="72"/>
  <c r="J47" i="72"/>
  <c r="H47" i="72"/>
  <c r="D47" i="72"/>
  <c r="L47" i="72" s="1"/>
  <c r="B47" i="72"/>
  <c r="X46" i="72"/>
  <c r="Z46" i="72" s="1"/>
  <c r="R46" i="72"/>
  <c r="N46" i="72"/>
  <c r="L46" i="72"/>
  <c r="B46" i="72"/>
  <c r="Z45" i="72"/>
  <c r="X45" i="72"/>
  <c r="T45" i="72"/>
  <c r="P45" i="72"/>
  <c r="L45" i="72"/>
  <c r="N45" i="72" s="1"/>
  <c r="H45" i="72"/>
  <c r="F45" i="72"/>
  <c r="D45" i="72"/>
  <c r="B45" i="72"/>
  <c r="Z44" i="72"/>
  <c r="X44" i="72"/>
  <c r="L44" i="72"/>
  <c r="N44" i="72" s="1"/>
  <c r="J44" i="72"/>
  <c r="B44" i="72"/>
  <c r="T43" i="72"/>
  <c r="X43" i="72" s="1"/>
  <c r="Z43" i="72" s="1"/>
  <c r="P43" i="72"/>
  <c r="J43" i="72"/>
  <c r="H43" i="72"/>
  <c r="D43" i="72"/>
  <c r="B43" i="72"/>
  <c r="Z42" i="72"/>
  <c r="X42" i="72"/>
  <c r="N42" i="72"/>
  <c r="L42" i="72"/>
  <c r="F42" i="72"/>
  <c r="B42" i="72"/>
  <c r="Z41" i="72"/>
  <c r="X41" i="72"/>
  <c r="V41" i="72"/>
  <c r="N41" i="72"/>
  <c r="L41" i="72"/>
  <c r="B41" i="72"/>
  <c r="X40" i="72"/>
  <c r="Z40" i="72" s="1"/>
  <c r="L40" i="72"/>
  <c r="N40" i="72" s="1"/>
  <c r="B40" i="72"/>
  <c r="Z39" i="72"/>
  <c r="X39" i="72"/>
  <c r="N39" i="72"/>
  <c r="L39" i="72"/>
  <c r="B39" i="72"/>
  <c r="Z38" i="72"/>
  <c r="X38" i="72"/>
  <c r="N38" i="72"/>
  <c r="L38" i="72"/>
  <c r="B38" i="72"/>
  <c r="Z37" i="72"/>
  <c r="X37" i="72"/>
  <c r="L37" i="72"/>
  <c r="N37" i="72" s="1"/>
  <c r="B37" i="72"/>
  <c r="X36" i="72"/>
  <c r="Z36" i="72" s="1"/>
  <c r="L36" i="72"/>
  <c r="N36" i="72" s="1"/>
  <c r="F36" i="72"/>
  <c r="B36" i="72"/>
  <c r="Z35" i="72"/>
  <c r="X35" i="72"/>
  <c r="N35" i="72"/>
  <c r="L35" i="72"/>
  <c r="B35" i="72"/>
  <c r="Z34" i="72"/>
  <c r="X34" i="72"/>
  <c r="N34" i="72"/>
  <c r="L34" i="72"/>
  <c r="F34" i="72"/>
  <c r="B34" i="72"/>
  <c r="Z33" i="72"/>
  <c r="X33" i="72"/>
  <c r="L33" i="72"/>
  <c r="N33" i="72" s="1"/>
  <c r="B33" i="72"/>
  <c r="T32" i="72"/>
  <c r="P32" i="72"/>
  <c r="X32" i="72" s="1"/>
  <c r="L32" i="72"/>
  <c r="J32" i="72"/>
  <c r="H32" i="72"/>
  <c r="D32" i="72"/>
  <c r="B32" i="72"/>
  <c r="X31" i="72"/>
  <c r="Z31" i="72" s="1"/>
  <c r="N31" i="72"/>
  <c r="L31" i="72"/>
  <c r="J31" i="72"/>
  <c r="B31" i="72"/>
  <c r="X30" i="72"/>
  <c r="Z30" i="72" s="1"/>
  <c r="N30" i="72"/>
  <c r="L30" i="72"/>
  <c r="F30" i="72"/>
  <c r="B30" i="72"/>
  <c r="X29" i="72"/>
  <c r="Z29" i="72" s="1"/>
  <c r="N29" i="72"/>
  <c r="L29" i="72"/>
  <c r="J29" i="72"/>
  <c r="F29" i="72"/>
  <c r="B29" i="72"/>
  <c r="Z28" i="72"/>
  <c r="X28" i="72"/>
  <c r="N28" i="72"/>
  <c r="L28" i="72"/>
  <c r="F28" i="72"/>
  <c r="B28" i="72"/>
  <c r="Z27" i="72"/>
  <c r="X27" i="72"/>
  <c r="N27" i="72"/>
  <c r="L27" i="72"/>
  <c r="J27" i="72"/>
  <c r="B27" i="72"/>
  <c r="X26" i="72"/>
  <c r="Z26" i="72" s="1"/>
  <c r="R26" i="72"/>
  <c r="N26" i="72"/>
  <c r="L26" i="72"/>
  <c r="B26" i="72"/>
  <c r="Z25" i="72"/>
  <c r="X25" i="72"/>
  <c r="N25" i="72"/>
  <c r="L25" i="72"/>
  <c r="J25" i="72"/>
  <c r="F25" i="72"/>
  <c r="B25" i="72"/>
  <c r="X24" i="72"/>
  <c r="Z24" i="72" s="1"/>
  <c r="N24" i="72"/>
  <c r="L24" i="72"/>
  <c r="F24" i="72"/>
  <c r="B24" i="72"/>
  <c r="X23" i="72"/>
  <c r="Z23" i="72" s="1"/>
  <c r="N23" i="72"/>
  <c r="L23" i="72"/>
  <c r="J23" i="72"/>
  <c r="F23" i="72"/>
  <c r="B23" i="72"/>
  <c r="T22" i="72"/>
  <c r="R22" i="72"/>
  <c r="P22" i="72"/>
  <c r="X22" i="72" s="1"/>
  <c r="H22" i="72"/>
  <c r="D22" i="72"/>
  <c r="L22" i="72" s="1"/>
  <c r="B22" i="72"/>
  <c r="Z21" i="72"/>
  <c r="V21" i="72"/>
  <c r="T21" i="72"/>
  <c r="X21" i="72" s="1"/>
  <c r="P21" i="72"/>
  <c r="N21" i="72"/>
  <c r="J21" i="72"/>
  <c r="H21" i="72"/>
  <c r="L21" i="72" s="1"/>
  <c r="F21" i="72"/>
  <c r="D21" i="72"/>
  <c r="T19" i="72"/>
  <c r="R19" i="72"/>
  <c r="F19" i="72"/>
  <c r="Z17" i="72"/>
  <c r="X17" i="72"/>
  <c r="N17" i="72"/>
  <c r="L17" i="72"/>
  <c r="J17" i="72"/>
  <c r="B17" i="72"/>
  <c r="Z16" i="72"/>
  <c r="X16" i="72"/>
  <c r="N16" i="72"/>
  <c r="L16" i="72"/>
  <c r="J16" i="72"/>
  <c r="F16" i="72"/>
  <c r="B16" i="72"/>
  <c r="T15" i="72"/>
  <c r="R15" i="72"/>
  <c r="P15" i="72"/>
  <c r="J15" i="72"/>
  <c r="H15" i="72"/>
  <c r="F15" i="72"/>
  <c r="D15" i="72"/>
  <c r="P13" i="72"/>
  <c r="X13" i="72" s="1"/>
  <c r="Z13" i="72" s="1"/>
  <c r="L13" i="72"/>
  <c r="N13" i="72" s="1"/>
  <c r="D13" i="72"/>
  <c r="B13" i="72"/>
  <c r="T12" i="72"/>
  <c r="V57" i="72" s="1"/>
  <c r="P12" i="72"/>
  <c r="R30" i="72" s="1"/>
  <c r="L12" i="72"/>
  <c r="H12" i="72"/>
  <c r="J62" i="72" s="1"/>
  <c r="D12" i="72"/>
  <c r="F61" i="72" s="1"/>
  <c r="D6" i="72"/>
  <c r="D4" i="72"/>
  <c r="X119" i="70"/>
  <c r="Z119" i="70" s="1"/>
  <c r="N119" i="70"/>
  <c r="L119" i="70"/>
  <c r="Z115" i="70"/>
  <c r="P115" i="70"/>
  <c r="X115" i="70" s="1"/>
  <c r="N115" i="70"/>
  <c r="D115" i="70"/>
  <c r="L115" i="70" s="1"/>
  <c r="B115" i="70"/>
  <c r="P114" i="70"/>
  <c r="D114" i="70"/>
  <c r="L114" i="70" s="1"/>
  <c r="N114" i="70" s="1"/>
  <c r="B114" i="70"/>
  <c r="X113" i="70"/>
  <c r="Z113" i="70" s="1"/>
  <c r="P113" i="70"/>
  <c r="N113" i="70"/>
  <c r="L113" i="70"/>
  <c r="D113" i="70"/>
  <c r="B113" i="70"/>
  <c r="T112" i="70"/>
  <c r="N112" i="70"/>
  <c r="L112" i="70"/>
  <c r="H112" i="70"/>
  <c r="D112" i="70"/>
  <c r="Z110" i="70"/>
  <c r="X110" i="70"/>
  <c r="N110" i="70"/>
  <c r="L110" i="70"/>
  <c r="J110" i="70"/>
  <c r="B110" i="70"/>
  <c r="T109" i="70"/>
  <c r="Z109" i="70" s="1"/>
  <c r="P109" i="70"/>
  <c r="X109" i="70" s="1"/>
  <c r="H109" i="70"/>
  <c r="N109" i="70" s="1"/>
  <c r="D109" i="70"/>
  <c r="L109" i="70" s="1"/>
  <c r="B109" i="70"/>
  <c r="X108" i="70"/>
  <c r="Z108" i="70" s="1"/>
  <c r="N108" i="70"/>
  <c r="L108" i="70"/>
  <c r="B108" i="70"/>
  <c r="Z107" i="70"/>
  <c r="X107" i="70"/>
  <c r="T107" i="70"/>
  <c r="P107" i="70"/>
  <c r="H107" i="70"/>
  <c r="D107" i="70"/>
  <c r="L107" i="70" s="1"/>
  <c r="N107" i="70" s="1"/>
  <c r="B107" i="70"/>
  <c r="Z106" i="70"/>
  <c r="X106" i="70"/>
  <c r="N106" i="70"/>
  <c r="L106" i="70"/>
  <c r="B106" i="70"/>
  <c r="X105" i="70"/>
  <c r="Z105" i="70" s="1"/>
  <c r="V105" i="70"/>
  <c r="L105" i="70"/>
  <c r="N105" i="70" s="1"/>
  <c r="B105" i="70"/>
  <c r="T104" i="70"/>
  <c r="P104" i="70"/>
  <c r="X104" i="70" s="1"/>
  <c r="Z104" i="70" s="1"/>
  <c r="H104" i="70"/>
  <c r="N104" i="70" s="1"/>
  <c r="D104" i="70"/>
  <c r="L104" i="70" s="1"/>
  <c r="B104" i="70"/>
  <c r="X103" i="70"/>
  <c r="Z103" i="70" s="1"/>
  <c r="N103" i="70"/>
  <c r="L103" i="70"/>
  <c r="B103" i="70"/>
  <c r="Z102" i="70"/>
  <c r="X102" i="70"/>
  <c r="N102" i="70"/>
  <c r="L102" i="70"/>
  <c r="J102" i="70"/>
  <c r="B102" i="70"/>
  <c r="X101" i="70"/>
  <c r="Z101" i="70" s="1"/>
  <c r="N101" i="70"/>
  <c r="L101" i="70"/>
  <c r="B101" i="70"/>
  <c r="X100" i="70"/>
  <c r="Z100" i="70" s="1"/>
  <c r="T100" i="70"/>
  <c r="P100" i="70"/>
  <c r="N100" i="70"/>
  <c r="L100" i="70"/>
  <c r="H100" i="70"/>
  <c r="D100" i="70"/>
  <c r="B100" i="70"/>
  <c r="Z99" i="70"/>
  <c r="X99" i="70"/>
  <c r="N99" i="70"/>
  <c r="L99" i="70"/>
  <c r="B99" i="70"/>
  <c r="Z98" i="70"/>
  <c r="X98" i="70"/>
  <c r="V98" i="70"/>
  <c r="N98" i="70"/>
  <c r="L98" i="70"/>
  <c r="B98" i="70"/>
  <c r="T97" i="70"/>
  <c r="P97" i="70"/>
  <c r="X97" i="70" s="1"/>
  <c r="Z97" i="70" s="1"/>
  <c r="N97" i="70"/>
  <c r="L97" i="70"/>
  <c r="H97" i="70"/>
  <c r="D97" i="70"/>
  <c r="B97" i="70"/>
  <c r="Z96" i="70"/>
  <c r="X96" i="70"/>
  <c r="L96" i="70"/>
  <c r="N96" i="70" s="1"/>
  <c r="B96" i="70"/>
  <c r="Z95" i="70"/>
  <c r="X95" i="70"/>
  <c r="L95" i="70"/>
  <c r="N95" i="70" s="1"/>
  <c r="B95" i="70"/>
  <c r="T94" i="70"/>
  <c r="P94" i="70"/>
  <c r="X94" i="70" s="1"/>
  <c r="H94" i="70"/>
  <c r="D94" i="70"/>
  <c r="L94" i="70" s="1"/>
  <c r="N94" i="70" s="1"/>
  <c r="B94" i="70"/>
  <c r="X93" i="70"/>
  <c r="Z93" i="70" s="1"/>
  <c r="N93" i="70"/>
  <c r="L93" i="70"/>
  <c r="B93" i="70"/>
  <c r="X92" i="70"/>
  <c r="Z92" i="70" s="1"/>
  <c r="T92" i="70"/>
  <c r="P92" i="70"/>
  <c r="N92" i="70"/>
  <c r="L92" i="70"/>
  <c r="H92" i="70"/>
  <c r="D92" i="70"/>
  <c r="B92" i="70"/>
  <c r="Z91" i="70"/>
  <c r="X91" i="70"/>
  <c r="N91" i="70"/>
  <c r="L91" i="70"/>
  <c r="B91" i="70"/>
  <c r="Z90" i="70"/>
  <c r="X90" i="70"/>
  <c r="V90" i="70"/>
  <c r="N90" i="70"/>
  <c r="L90" i="70"/>
  <c r="B90" i="70"/>
  <c r="T89" i="70"/>
  <c r="P89" i="70"/>
  <c r="X89" i="70" s="1"/>
  <c r="Z89" i="70" s="1"/>
  <c r="N89" i="70"/>
  <c r="L89" i="70"/>
  <c r="H89" i="70"/>
  <c r="D89" i="70"/>
  <c r="B89" i="70"/>
  <c r="Z88" i="70"/>
  <c r="X88" i="70"/>
  <c r="N88" i="70"/>
  <c r="L88" i="70"/>
  <c r="B88" i="70"/>
  <c r="Z87" i="70"/>
  <c r="X87" i="70"/>
  <c r="L87" i="70"/>
  <c r="N87" i="70" s="1"/>
  <c r="B87" i="70"/>
  <c r="T86" i="70"/>
  <c r="P86" i="70"/>
  <c r="X86" i="70" s="1"/>
  <c r="H86" i="70"/>
  <c r="D86" i="70"/>
  <c r="L86" i="70" s="1"/>
  <c r="N86" i="70" s="1"/>
  <c r="B86" i="70"/>
  <c r="X85" i="70"/>
  <c r="Z85" i="70" s="1"/>
  <c r="N85" i="70"/>
  <c r="L85" i="70"/>
  <c r="B85" i="70"/>
  <c r="X84" i="70"/>
  <c r="Z84" i="70" s="1"/>
  <c r="T84" i="70"/>
  <c r="P84" i="70"/>
  <c r="N84" i="70"/>
  <c r="L84" i="70"/>
  <c r="H84" i="70"/>
  <c r="D84" i="70"/>
  <c r="B84" i="70"/>
  <c r="Z83" i="70"/>
  <c r="X83" i="70"/>
  <c r="N83" i="70"/>
  <c r="L83" i="70"/>
  <c r="B83" i="70"/>
  <c r="T82" i="70"/>
  <c r="P82" i="70"/>
  <c r="L82" i="70"/>
  <c r="H82" i="70"/>
  <c r="N82" i="70" s="1"/>
  <c r="D82" i="70"/>
  <c r="B82" i="70"/>
  <c r="Z81" i="70"/>
  <c r="X81" i="70"/>
  <c r="V81" i="70"/>
  <c r="N81" i="70"/>
  <c r="L81" i="70"/>
  <c r="J81" i="70"/>
  <c r="B81" i="70"/>
  <c r="Z80" i="70"/>
  <c r="X80" i="70"/>
  <c r="L80" i="70"/>
  <c r="N80" i="70" s="1"/>
  <c r="B80" i="70"/>
  <c r="Z79" i="70"/>
  <c r="X79" i="70"/>
  <c r="T79" i="70"/>
  <c r="P79" i="70"/>
  <c r="L79" i="70"/>
  <c r="J79" i="70"/>
  <c r="H79" i="70"/>
  <c r="N79" i="70" s="1"/>
  <c r="D79" i="70"/>
  <c r="B79" i="70"/>
  <c r="X78" i="70"/>
  <c r="Z78" i="70" s="1"/>
  <c r="N78" i="70"/>
  <c r="L78" i="70"/>
  <c r="J78" i="70"/>
  <c r="B78" i="70"/>
  <c r="V77" i="70"/>
  <c r="T77" i="70"/>
  <c r="Z77" i="70" s="1"/>
  <c r="P77" i="70"/>
  <c r="X77" i="70" s="1"/>
  <c r="H77" i="70"/>
  <c r="D77" i="70"/>
  <c r="B77" i="70"/>
  <c r="Z76" i="70"/>
  <c r="X76" i="70"/>
  <c r="N76" i="70"/>
  <c r="L76" i="70"/>
  <c r="B76" i="70"/>
  <c r="Z75" i="70"/>
  <c r="X75" i="70"/>
  <c r="N75" i="70"/>
  <c r="L75" i="70"/>
  <c r="B75" i="70"/>
  <c r="Z74" i="70"/>
  <c r="X74" i="70"/>
  <c r="V74" i="70"/>
  <c r="N74" i="70"/>
  <c r="L74" i="70"/>
  <c r="B74" i="70"/>
  <c r="Z73" i="70"/>
  <c r="X73" i="70"/>
  <c r="N73" i="70"/>
  <c r="L73" i="70"/>
  <c r="J73" i="70"/>
  <c r="B73" i="70"/>
  <c r="Z72" i="70"/>
  <c r="X72" i="70"/>
  <c r="N72" i="70"/>
  <c r="L72" i="70"/>
  <c r="B72" i="70"/>
  <c r="Z71" i="70"/>
  <c r="X71" i="70"/>
  <c r="N71" i="70"/>
  <c r="L71" i="70"/>
  <c r="B71" i="70"/>
  <c r="X70" i="70"/>
  <c r="Z70" i="70" s="1"/>
  <c r="V70" i="70"/>
  <c r="N70" i="70"/>
  <c r="L70" i="70"/>
  <c r="B70" i="70"/>
  <c r="Z69" i="70"/>
  <c r="X69" i="70"/>
  <c r="N69" i="70"/>
  <c r="L69" i="70"/>
  <c r="J69" i="70"/>
  <c r="B69" i="70"/>
  <c r="X68" i="70"/>
  <c r="Z68" i="70" s="1"/>
  <c r="N68" i="70"/>
  <c r="L68" i="70"/>
  <c r="B68" i="70"/>
  <c r="Z67" i="70"/>
  <c r="X67" i="70"/>
  <c r="N67" i="70"/>
  <c r="L67" i="70"/>
  <c r="B67" i="70"/>
  <c r="V66" i="70"/>
  <c r="T66" i="70"/>
  <c r="P66" i="70"/>
  <c r="L66" i="70"/>
  <c r="H66" i="70"/>
  <c r="N66" i="70" s="1"/>
  <c r="D66" i="70"/>
  <c r="B66" i="70"/>
  <c r="X65" i="70"/>
  <c r="Z65" i="70" s="1"/>
  <c r="V65" i="70"/>
  <c r="N65" i="70"/>
  <c r="L65" i="70"/>
  <c r="J65" i="70"/>
  <c r="B65" i="70"/>
  <c r="Z64" i="70"/>
  <c r="X64" i="70"/>
  <c r="N64" i="70"/>
  <c r="L64" i="70"/>
  <c r="B64" i="70"/>
  <c r="Z63" i="70"/>
  <c r="X63" i="70"/>
  <c r="L63" i="70"/>
  <c r="N63" i="70" s="1"/>
  <c r="B63" i="70"/>
  <c r="Z62" i="70"/>
  <c r="X62" i="70"/>
  <c r="N62" i="70"/>
  <c r="L62" i="70"/>
  <c r="B62" i="70"/>
  <c r="Z61" i="70"/>
  <c r="X61" i="70"/>
  <c r="V61" i="70"/>
  <c r="N61" i="70"/>
  <c r="L61" i="70"/>
  <c r="J61" i="70"/>
  <c r="B61" i="70"/>
  <c r="Z60" i="70"/>
  <c r="X60" i="70"/>
  <c r="L60" i="70"/>
  <c r="N60" i="70" s="1"/>
  <c r="B60" i="70"/>
  <c r="Z59" i="70"/>
  <c r="X59" i="70"/>
  <c r="L59" i="70"/>
  <c r="N59" i="70" s="1"/>
  <c r="B59" i="70"/>
  <c r="Z58" i="70"/>
  <c r="X58" i="70"/>
  <c r="N58" i="70"/>
  <c r="L58" i="70"/>
  <c r="B58" i="70"/>
  <c r="X57" i="70"/>
  <c r="Z57" i="70" s="1"/>
  <c r="V57" i="70"/>
  <c r="L57" i="70"/>
  <c r="N57" i="70" s="1"/>
  <c r="J57" i="70"/>
  <c r="B57" i="70"/>
  <c r="Z56" i="70"/>
  <c r="X56" i="70"/>
  <c r="L56" i="70"/>
  <c r="N56" i="70" s="1"/>
  <c r="B56" i="70"/>
  <c r="Z55" i="70"/>
  <c r="X55" i="70"/>
  <c r="T55" i="70"/>
  <c r="P55" i="70"/>
  <c r="L55" i="70"/>
  <c r="J55" i="70"/>
  <c r="H55" i="70"/>
  <c r="D55" i="70"/>
  <c r="B55" i="70"/>
  <c r="X54" i="70"/>
  <c r="Z54" i="70" s="1"/>
  <c r="T54" i="70"/>
  <c r="P54" i="70"/>
  <c r="N54" i="70"/>
  <c r="L54" i="70"/>
  <c r="H54" i="70"/>
  <c r="D54" i="70"/>
  <c r="Z50" i="70"/>
  <c r="X50" i="70"/>
  <c r="N50" i="70"/>
  <c r="L50" i="70"/>
  <c r="J50" i="70"/>
  <c r="B50" i="70"/>
  <c r="Z49" i="70"/>
  <c r="X49" i="70"/>
  <c r="V49" i="70"/>
  <c r="N49" i="70"/>
  <c r="L49" i="70"/>
  <c r="B49" i="70"/>
  <c r="Z48" i="70"/>
  <c r="X48" i="70"/>
  <c r="N48" i="70"/>
  <c r="L48" i="70"/>
  <c r="B48" i="70"/>
  <c r="Z47" i="70"/>
  <c r="X47" i="70"/>
  <c r="N47" i="70"/>
  <c r="L47" i="70"/>
  <c r="B47" i="70"/>
  <c r="Z46" i="70"/>
  <c r="X46" i="70"/>
  <c r="N46" i="70"/>
  <c r="L46" i="70"/>
  <c r="J46" i="70"/>
  <c r="B46" i="70"/>
  <c r="Z45" i="70"/>
  <c r="X45" i="70"/>
  <c r="V45" i="70"/>
  <c r="N45" i="70"/>
  <c r="L45" i="70"/>
  <c r="B45" i="70"/>
  <c r="Z44" i="70"/>
  <c r="X44" i="70"/>
  <c r="N44" i="70"/>
  <c r="L44" i="70"/>
  <c r="B44" i="70"/>
  <c r="Z43" i="70"/>
  <c r="X43" i="70"/>
  <c r="N43" i="70"/>
  <c r="L43" i="70"/>
  <c r="B43" i="70"/>
  <c r="Z42" i="70"/>
  <c r="X42" i="70"/>
  <c r="N42" i="70"/>
  <c r="L42" i="70"/>
  <c r="J42" i="70"/>
  <c r="B42" i="70"/>
  <c r="Z41" i="70"/>
  <c r="X41" i="70"/>
  <c r="V41" i="70"/>
  <c r="N41" i="70"/>
  <c r="L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J38" i="70"/>
  <c r="B38" i="70"/>
  <c r="Z37" i="70"/>
  <c r="X37" i="70"/>
  <c r="V37" i="70"/>
  <c r="N37" i="70"/>
  <c r="L37" i="70"/>
  <c r="B37" i="70"/>
  <c r="Z36" i="70"/>
  <c r="X36" i="70"/>
  <c r="L36" i="70"/>
  <c r="N36" i="70" s="1"/>
  <c r="B36" i="70"/>
  <c r="T35" i="70"/>
  <c r="P35" i="70"/>
  <c r="X35" i="70" s="1"/>
  <c r="J35" i="70"/>
  <c r="H35" i="70"/>
  <c r="N35" i="70" s="1"/>
  <c r="D35" i="70"/>
  <c r="L35" i="70" s="1"/>
  <c r="Z33" i="70"/>
  <c r="P33" i="70"/>
  <c r="X33" i="70" s="1"/>
  <c r="N33" i="70"/>
  <c r="L33" i="70"/>
  <c r="D33" i="70"/>
  <c r="B33" i="70"/>
  <c r="Z32" i="70"/>
  <c r="X32" i="70"/>
  <c r="P32" i="70"/>
  <c r="N32" i="70"/>
  <c r="L32" i="70"/>
  <c r="D32" i="70"/>
  <c r="B32" i="70"/>
  <c r="Z31" i="70"/>
  <c r="X31" i="70"/>
  <c r="P31" i="70"/>
  <c r="N31" i="70"/>
  <c r="L31" i="70"/>
  <c r="D31" i="70"/>
  <c r="B31" i="70"/>
  <c r="Z30" i="70"/>
  <c r="X30" i="70"/>
  <c r="P30" i="70"/>
  <c r="N30" i="70"/>
  <c r="D30" i="70"/>
  <c r="L30" i="70" s="1"/>
  <c r="B30" i="70"/>
  <c r="Z29" i="70"/>
  <c r="X29" i="70"/>
  <c r="P29" i="70"/>
  <c r="N29" i="70"/>
  <c r="L29" i="70"/>
  <c r="D29" i="70"/>
  <c r="B29" i="70"/>
  <c r="Z28" i="70"/>
  <c r="X28" i="70"/>
  <c r="P28" i="70"/>
  <c r="N28" i="70"/>
  <c r="D28" i="70"/>
  <c r="L28" i="70" s="1"/>
  <c r="B28" i="70"/>
  <c r="Z27" i="70"/>
  <c r="P27" i="70"/>
  <c r="X27" i="70" s="1"/>
  <c r="N27" i="70"/>
  <c r="L27" i="70"/>
  <c r="D27" i="70"/>
  <c r="B27" i="70"/>
  <c r="Z26" i="70"/>
  <c r="P26" i="70"/>
  <c r="X26" i="70" s="1"/>
  <c r="N26" i="70"/>
  <c r="L26" i="70"/>
  <c r="D26" i="70"/>
  <c r="B26" i="70"/>
  <c r="Z25" i="70"/>
  <c r="P25" i="70"/>
  <c r="X25" i="70" s="1"/>
  <c r="N25" i="70"/>
  <c r="L25" i="70"/>
  <c r="D25" i="70"/>
  <c r="B25" i="70"/>
  <c r="Z24" i="70"/>
  <c r="X24" i="70"/>
  <c r="P24" i="70"/>
  <c r="N24" i="70"/>
  <c r="D24" i="70"/>
  <c r="L24" i="70" s="1"/>
  <c r="B24" i="70"/>
  <c r="Z23" i="70"/>
  <c r="X23" i="70"/>
  <c r="P23" i="70"/>
  <c r="N23" i="70"/>
  <c r="D23" i="70"/>
  <c r="L23" i="70" s="1"/>
  <c r="B23" i="70"/>
  <c r="Z22" i="70"/>
  <c r="X22" i="70"/>
  <c r="P22" i="70"/>
  <c r="N22" i="70"/>
  <c r="D22" i="70"/>
  <c r="L22" i="70" s="1"/>
  <c r="B22" i="70"/>
  <c r="Z21" i="70"/>
  <c r="P21" i="70"/>
  <c r="X21" i="70" s="1"/>
  <c r="N21" i="70"/>
  <c r="L21" i="70"/>
  <c r="D21" i="70"/>
  <c r="B21" i="70"/>
  <c r="Z20" i="70"/>
  <c r="X20" i="70"/>
  <c r="P20" i="70"/>
  <c r="N20" i="70"/>
  <c r="L20" i="70"/>
  <c r="D20" i="70"/>
  <c r="B20" i="70"/>
  <c r="Z19" i="70"/>
  <c r="P19" i="70"/>
  <c r="X19" i="70" s="1"/>
  <c r="N19" i="70"/>
  <c r="L19" i="70"/>
  <c r="D19" i="70"/>
  <c r="B19" i="70"/>
  <c r="Z18" i="70"/>
  <c r="X18" i="70"/>
  <c r="P18" i="70"/>
  <c r="N18" i="70"/>
  <c r="D18" i="70"/>
  <c r="L18" i="70" s="1"/>
  <c r="B18" i="70"/>
  <c r="Z17" i="70"/>
  <c r="X17" i="70"/>
  <c r="P17" i="70"/>
  <c r="N17" i="70"/>
  <c r="L17" i="70"/>
  <c r="D17" i="70"/>
  <c r="B17" i="70"/>
  <c r="Z16" i="70"/>
  <c r="X16" i="70"/>
  <c r="P16" i="70"/>
  <c r="N16" i="70"/>
  <c r="L16" i="70"/>
  <c r="D16" i="70"/>
  <c r="B16" i="70"/>
  <c r="Z15" i="70"/>
  <c r="P15" i="70"/>
  <c r="X15" i="70" s="1"/>
  <c r="N15" i="70"/>
  <c r="L15" i="70"/>
  <c r="D15" i="70"/>
  <c r="B15" i="70"/>
  <c r="Z14" i="70"/>
  <c r="P14" i="70"/>
  <c r="X14" i="70" s="1"/>
  <c r="N14" i="70"/>
  <c r="L14" i="70"/>
  <c r="D14" i="70"/>
  <c r="B14" i="70"/>
  <c r="P13" i="70"/>
  <c r="N13" i="70"/>
  <c r="L13" i="70"/>
  <c r="D13" i="70"/>
  <c r="B13" i="70"/>
  <c r="T12" i="70"/>
  <c r="V107" i="70" s="1"/>
  <c r="H12" i="70"/>
  <c r="J119" i="70" s="1"/>
  <c r="D6" i="70"/>
  <c r="D4" i="70"/>
  <c r="Z68" i="69"/>
  <c r="X68" i="69"/>
  <c r="V68" i="69"/>
  <c r="R68" i="69"/>
  <c r="N68" i="69"/>
  <c r="L68" i="69"/>
  <c r="F68" i="69"/>
  <c r="Z64" i="69"/>
  <c r="X64" i="69"/>
  <c r="T64" i="69"/>
  <c r="P64" i="69"/>
  <c r="N64" i="69"/>
  <c r="L64" i="69"/>
  <c r="H64" i="69"/>
  <c r="D64" i="69"/>
  <c r="Z62" i="69"/>
  <c r="X62" i="69"/>
  <c r="N62" i="69"/>
  <c r="L62" i="69"/>
  <c r="J62" i="69"/>
  <c r="F62" i="69"/>
  <c r="B62" i="69"/>
  <c r="V61" i="69"/>
  <c r="T61" i="69"/>
  <c r="Z61" i="69" s="1"/>
  <c r="P61" i="69"/>
  <c r="X61" i="69" s="1"/>
  <c r="H61" i="69"/>
  <c r="N61" i="69" s="1"/>
  <c r="F61" i="69"/>
  <c r="D61" i="69"/>
  <c r="B61" i="69"/>
  <c r="Z60" i="69"/>
  <c r="X60" i="69"/>
  <c r="N60" i="69"/>
  <c r="L60" i="69"/>
  <c r="B60" i="69"/>
  <c r="Z59" i="69"/>
  <c r="X59" i="69"/>
  <c r="N59" i="69"/>
  <c r="L59" i="69"/>
  <c r="B59" i="69"/>
  <c r="Z58" i="69"/>
  <c r="X58" i="69"/>
  <c r="V58" i="69"/>
  <c r="R58" i="69"/>
  <c r="N58" i="69"/>
  <c r="L58" i="69"/>
  <c r="F58" i="69"/>
  <c r="B58" i="69"/>
  <c r="Z57" i="69"/>
  <c r="T57" i="69"/>
  <c r="P57" i="69"/>
  <c r="X57" i="69" s="1"/>
  <c r="N57" i="69"/>
  <c r="L57" i="69"/>
  <c r="H57" i="69"/>
  <c r="F57" i="69"/>
  <c r="D57" i="69"/>
  <c r="B57" i="69"/>
  <c r="Z56" i="69"/>
  <c r="X56" i="69"/>
  <c r="N56" i="69"/>
  <c r="L56" i="69"/>
  <c r="B56" i="69"/>
  <c r="Z55" i="69"/>
  <c r="X55" i="69"/>
  <c r="N55" i="69"/>
  <c r="L55" i="69"/>
  <c r="F55" i="69"/>
  <c r="B55" i="69"/>
  <c r="T54" i="69"/>
  <c r="Z54" i="69" s="1"/>
  <c r="P54" i="69"/>
  <c r="X54" i="69" s="1"/>
  <c r="N54" i="69"/>
  <c r="H54" i="69"/>
  <c r="F54" i="69"/>
  <c r="D54" i="69"/>
  <c r="L54" i="69" s="1"/>
  <c r="B54" i="69"/>
  <c r="Z53" i="69"/>
  <c r="X53" i="69"/>
  <c r="V53" i="69"/>
  <c r="N53" i="69"/>
  <c r="L53" i="69"/>
  <c r="B53" i="69"/>
  <c r="Z52" i="69"/>
  <c r="X52" i="69"/>
  <c r="N52" i="69"/>
  <c r="L52" i="69"/>
  <c r="B52" i="69"/>
  <c r="T51" i="69"/>
  <c r="Z51" i="69" s="1"/>
  <c r="P51" i="69"/>
  <c r="J51" i="69"/>
  <c r="H51" i="69"/>
  <c r="N51" i="69" s="1"/>
  <c r="D51" i="69"/>
  <c r="L51" i="69" s="1"/>
  <c r="B51" i="69"/>
  <c r="Z50" i="69"/>
  <c r="X50" i="69"/>
  <c r="V50" i="69"/>
  <c r="N50" i="69"/>
  <c r="L50" i="69"/>
  <c r="F50" i="69"/>
  <c r="B50" i="69"/>
  <c r="Z49" i="69"/>
  <c r="T49" i="69"/>
  <c r="P49" i="69"/>
  <c r="X49" i="69" s="1"/>
  <c r="N49" i="69"/>
  <c r="L49" i="69"/>
  <c r="H49" i="69"/>
  <c r="F49" i="69"/>
  <c r="D49" i="69"/>
  <c r="B49" i="69"/>
  <c r="Z48" i="69"/>
  <c r="X48" i="69"/>
  <c r="N48" i="69"/>
  <c r="L48" i="69"/>
  <c r="B48" i="69"/>
  <c r="Z47" i="69"/>
  <c r="T47" i="69"/>
  <c r="X47" i="69" s="1"/>
  <c r="P47" i="69"/>
  <c r="L47" i="69"/>
  <c r="J47" i="69"/>
  <c r="H47" i="69"/>
  <c r="N47" i="69" s="1"/>
  <c r="D47" i="69"/>
  <c r="B47" i="69"/>
  <c r="Z46" i="69"/>
  <c r="X46" i="69"/>
  <c r="N46" i="69"/>
  <c r="L46" i="69"/>
  <c r="J46" i="69"/>
  <c r="F46" i="69"/>
  <c r="B46" i="69"/>
  <c r="V45" i="69"/>
  <c r="T45" i="69"/>
  <c r="Z45" i="69" s="1"/>
  <c r="P45" i="69"/>
  <c r="X45" i="69" s="1"/>
  <c r="H45" i="69"/>
  <c r="N45" i="69" s="1"/>
  <c r="F45" i="69"/>
  <c r="D45" i="69"/>
  <c r="B45" i="69"/>
  <c r="Z44" i="69"/>
  <c r="X44" i="69"/>
  <c r="N44" i="69"/>
  <c r="L44" i="69"/>
  <c r="B44" i="69"/>
  <c r="Z43" i="69"/>
  <c r="X43" i="69"/>
  <c r="T43" i="69"/>
  <c r="P43" i="69"/>
  <c r="N43" i="69"/>
  <c r="H43" i="69"/>
  <c r="D43" i="69"/>
  <c r="L43" i="69" s="1"/>
  <c r="B43" i="69"/>
  <c r="Z42" i="69"/>
  <c r="X42" i="69"/>
  <c r="N42" i="69"/>
  <c r="L42" i="69"/>
  <c r="B42" i="69"/>
  <c r="X41" i="69"/>
  <c r="V41" i="69"/>
  <c r="T41" i="69"/>
  <c r="Z41" i="69" s="1"/>
  <c r="P41" i="69"/>
  <c r="N41" i="69"/>
  <c r="H41" i="69"/>
  <c r="L41" i="69" s="1"/>
  <c r="D41" i="69"/>
  <c r="B41" i="69"/>
  <c r="Z40" i="69"/>
  <c r="X40" i="69"/>
  <c r="N40" i="69"/>
  <c r="L40" i="69"/>
  <c r="B40" i="69"/>
  <c r="Z39" i="69"/>
  <c r="X39" i="69"/>
  <c r="R39" i="69"/>
  <c r="N39" i="69"/>
  <c r="L39" i="69"/>
  <c r="B39" i="69"/>
  <c r="Z38" i="69"/>
  <c r="X38" i="69"/>
  <c r="N38" i="69"/>
  <c r="L38" i="69"/>
  <c r="J38" i="69"/>
  <c r="F38" i="69"/>
  <c r="B38" i="69"/>
  <c r="Z37" i="69"/>
  <c r="X37" i="69"/>
  <c r="V37" i="69"/>
  <c r="N37" i="69"/>
  <c r="L37" i="69"/>
  <c r="B37" i="69"/>
  <c r="Z36" i="69"/>
  <c r="X36" i="69"/>
  <c r="N36" i="69"/>
  <c r="L36" i="69"/>
  <c r="B36" i="69"/>
  <c r="Z35" i="69"/>
  <c r="X35" i="69"/>
  <c r="R35" i="69"/>
  <c r="N35" i="69"/>
  <c r="L35" i="69"/>
  <c r="B35" i="69"/>
  <c r="Z34" i="69"/>
  <c r="X34" i="69"/>
  <c r="N34" i="69"/>
  <c r="L34" i="69"/>
  <c r="J34" i="69"/>
  <c r="F34" i="69"/>
  <c r="B34" i="69"/>
  <c r="Z33" i="69"/>
  <c r="X33" i="69"/>
  <c r="V33" i="69"/>
  <c r="N33" i="69"/>
  <c r="L33" i="69"/>
  <c r="B33" i="69"/>
  <c r="Z32" i="69"/>
  <c r="X32" i="69"/>
  <c r="N32" i="69"/>
  <c r="L32" i="69"/>
  <c r="B32" i="69"/>
  <c r="Z31" i="69"/>
  <c r="X31" i="69"/>
  <c r="R31" i="69"/>
  <c r="N31" i="69"/>
  <c r="L31" i="69"/>
  <c r="B31" i="69"/>
  <c r="Z30" i="69"/>
  <c r="X30" i="69"/>
  <c r="T30" i="69"/>
  <c r="P30" i="69"/>
  <c r="N30" i="69"/>
  <c r="J30" i="69"/>
  <c r="H30" i="69"/>
  <c r="D30" i="69"/>
  <c r="L30" i="69" s="1"/>
  <c r="B30" i="69"/>
  <c r="Z29" i="69"/>
  <c r="X29" i="69"/>
  <c r="N29" i="69"/>
  <c r="L29" i="69"/>
  <c r="J29" i="69"/>
  <c r="B29" i="69"/>
  <c r="Z28" i="69"/>
  <c r="X28" i="69"/>
  <c r="N28" i="69"/>
  <c r="L28" i="69"/>
  <c r="B28" i="69"/>
  <c r="Z27" i="69"/>
  <c r="X27" i="69"/>
  <c r="N27" i="69"/>
  <c r="L27" i="69"/>
  <c r="B27" i="69"/>
  <c r="Z26" i="69"/>
  <c r="X26" i="69"/>
  <c r="V26" i="69"/>
  <c r="N26" i="69"/>
  <c r="L26" i="69"/>
  <c r="F26" i="69"/>
  <c r="B26" i="69"/>
  <c r="Z25" i="69"/>
  <c r="X25" i="69"/>
  <c r="N25" i="69"/>
  <c r="L25" i="69"/>
  <c r="J25" i="69"/>
  <c r="B25" i="69"/>
  <c r="Z24" i="69"/>
  <c r="X24" i="69"/>
  <c r="N24" i="69"/>
  <c r="L24" i="69"/>
  <c r="B24" i="69"/>
  <c r="Z23" i="69"/>
  <c r="X23" i="69"/>
  <c r="N23" i="69"/>
  <c r="L23" i="69"/>
  <c r="B23" i="69"/>
  <c r="Z22" i="69"/>
  <c r="X22" i="69"/>
  <c r="V22" i="69"/>
  <c r="N22" i="69"/>
  <c r="L22" i="69"/>
  <c r="F22" i="69"/>
  <c r="B22" i="69"/>
  <c r="Z21" i="69"/>
  <c r="T21" i="69"/>
  <c r="P21" i="69"/>
  <c r="X21" i="69" s="1"/>
  <c r="N21" i="69"/>
  <c r="L21" i="69"/>
  <c r="H21" i="69"/>
  <c r="F21" i="69"/>
  <c r="D21" i="69"/>
  <c r="B21" i="69"/>
  <c r="T20" i="69"/>
  <c r="Z20" i="69" s="1"/>
  <c r="R20" i="69"/>
  <c r="P20" i="69"/>
  <c r="X20" i="69" s="1"/>
  <c r="H20" i="69"/>
  <c r="N20" i="69" s="1"/>
  <c r="D20" i="69"/>
  <c r="L20" i="69" s="1"/>
  <c r="P18" i="69"/>
  <c r="H18" i="69"/>
  <c r="Z16" i="69"/>
  <c r="X16" i="69"/>
  <c r="N16" i="69"/>
  <c r="L16" i="69"/>
  <c r="J16" i="69"/>
  <c r="B16" i="69"/>
  <c r="Z15" i="69"/>
  <c r="T15" i="69"/>
  <c r="X15" i="69" s="1"/>
  <c r="P15" i="69"/>
  <c r="L15" i="69"/>
  <c r="J15" i="69"/>
  <c r="H15" i="69"/>
  <c r="N15" i="69" s="1"/>
  <c r="D15" i="69"/>
  <c r="P13" i="69"/>
  <c r="P12" i="69" s="1"/>
  <c r="N13" i="69"/>
  <c r="L13" i="69"/>
  <c r="D13" i="69"/>
  <c r="B13" i="69"/>
  <c r="X12" i="69"/>
  <c r="Z12" i="69" s="1"/>
  <c r="T12" i="69"/>
  <c r="V59" i="69" s="1"/>
  <c r="L12" i="69"/>
  <c r="H12" i="69"/>
  <c r="J57" i="69" s="1"/>
  <c r="D12" i="69"/>
  <c r="F56" i="69" s="1"/>
  <c r="D6" i="69"/>
  <c r="D4" i="69"/>
  <c r="X94" i="68"/>
  <c r="Z94" i="68" s="1"/>
  <c r="V94" i="68"/>
  <c r="N94" i="68"/>
  <c r="L94" i="68"/>
  <c r="Z90" i="68"/>
  <c r="X90" i="68"/>
  <c r="T90" i="68"/>
  <c r="P90" i="68"/>
  <c r="N90" i="68"/>
  <c r="H90" i="68"/>
  <c r="D90" i="68"/>
  <c r="L90" i="68" s="1"/>
  <c r="X88" i="68"/>
  <c r="Z88" i="68" s="1"/>
  <c r="N88" i="68"/>
  <c r="L88" i="68"/>
  <c r="J88" i="68"/>
  <c r="B88" i="68"/>
  <c r="T87" i="68"/>
  <c r="P87" i="68"/>
  <c r="X87" i="68" s="1"/>
  <c r="H87" i="68"/>
  <c r="N87" i="68" s="1"/>
  <c r="F87" i="68"/>
  <c r="D87" i="68"/>
  <c r="L87" i="68" s="1"/>
  <c r="B87" i="68"/>
  <c r="Z86" i="68"/>
  <c r="X86" i="68"/>
  <c r="N86" i="68"/>
  <c r="L86" i="68"/>
  <c r="B86" i="68"/>
  <c r="Z85" i="68"/>
  <c r="X85" i="68"/>
  <c r="N85" i="68"/>
  <c r="L85" i="68"/>
  <c r="B85" i="68"/>
  <c r="V84" i="68"/>
  <c r="T84" i="68"/>
  <c r="P84" i="68"/>
  <c r="L84" i="68"/>
  <c r="H84" i="68"/>
  <c r="N84" i="68" s="1"/>
  <c r="D84" i="68"/>
  <c r="B84" i="68"/>
  <c r="X83" i="68"/>
  <c r="Z83" i="68" s="1"/>
  <c r="N83" i="68"/>
  <c r="L83" i="68"/>
  <c r="J83" i="68"/>
  <c r="B83" i="68"/>
  <c r="Z82" i="68"/>
  <c r="X82" i="68"/>
  <c r="L82" i="68"/>
  <c r="N82" i="68" s="1"/>
  <c r="B82" i="68"/>
  <c r="Z81" i="68"/>
  <c r="X81" i="68"/>
  <c r="N81" i="68"/>
  <c r="L81" i="68"/>
  <c r="B81" i="68"/>
  <c r="Z80" i="68"/>
  <c r="X80" i="68"/>
  <c r="L80" i="68"/>
  <c r="N80" i="68" s="1"/>
  <c r="B80" i="68"/>
  <c r="X79" i="68"/>
  <c r="T79" i="68"/>
  <c r="Z79" i="68" s="1"/>
  <c r="P79" i="68"/>
  <c r="N79" i="68"/>
  <c r="H79" i="68"/>
  <c r="L79" i="68" s="1"/>
  <c r="D79" i="68"/>
  <c r="B79" i="68"/>
  <c r="Z78" i="68"/>
  <c r="X78" i="68"/>
  <c r="L78" i="68"/>
  <c r="N78" i="68" s="1"/>
  <c r="B78" i="68"/>
  <c r="Z77" i="68"/>
  <c r="X77" i="68"/>
  <c r="N77" i="68"/>
  <c r="L77" i="68"/>
  <c r="B77" i="68"/>
  <c r="X76" i="68"/>
  <c r="Z76" i="68" s="1"/>
  <c r="T76" i="68"/>
  <c r="P76" i="68"/>
  <c r="H76" i="68"/>
  <c r="D76" i="68"/>
  <c r="L76" i="68" s="1"/>
  <c r="N76" i="68" s="1"/>
  <c r="B76" i="68"/>
  <c r="Z75" i="68"/>
  <c r="X75" i="68"/>
  <c r="L75" i="68"/>
  <c r="N75" i="68" s="1"/>
  <c r="J75" i="68"/>
  <c r="B75" i="68"/>
  <c r="Z74" i="68"/>
  <c r="X74" i="68"/>
  <c r="N74" i="68"/>
  <c r="L74" i="68"/>
  <c r="B74" i="68"/>
  <c r="Z73" i="68"/>
  <c r="X73" i="68"/>
  <c r="T73" i="68"/>
  <c r="P73" i="68"/>
  <c r="H73" i="68"/>
  <c r="D73" i="68"/>
  <c r="L73" i="68" s="1"/>
  <c r="N73" i="68" s="1"/>
  <c r="B73" i="68"/>
  <c r="Z72" i="68"/>
  <c r="X72" i="68"/>
  <c r="N72" i="68"/>
  <c r="L72" i="68"/>
  <c r="B72" i="68"/>
  <c r="X71" i="68"/>
  <c r="T71" i="68"/>
  <c r="Z71" i="68" s="1"/>
  <c r="P71" i="68"/>
  <c r="N71" i="68"/>
  <c r="H71" i="68"/>
  <c r="L71" i="68" s="1"/>
  <c r="D71" i="68"/>
  <c r="B71" i="68"/>
  <c r="X70" i="68"/>
  <c r="Z70" i="68" s="1"/>
  <c r="N70" i="68"/>
  <c r="L70" i="68"/>
  <c r="B70" i="68"/>
  <c r="T69" i="68"/>
  <c r="P69" i="68"/>
  <c r="X69" i="68" s="1"/>
  <c r="J69" i="68"/>
  <c r="H69" i="68"/>
  <c r="N69" i="68" s="1"/>
  <c r="D69" i="68"/>
  <c r="L69" i="68" s="1"/>
  <c r="B69" i="68"/>
  <c r="X68" i="68"/>
  <c r="Z68" i="68" s="1"/>
  <c r="V68" i="68"/>
  <c r="N68" i="68"/>
  <c r="L68" i="68"/>
  <c r="B68" i="68"/>
  <c r="T67" i="68"/>
  <c r="P67" i="68"/>
  <c r="X67" i="68" s="1"/>
  <c r="Z67" i="68" s="1"/>
  <c r="N67" i="68"/>
  <c r="L67" i="68"/>
  <c r="H67" i="68"/>
  <c r="D67" i="68"/>
  <c r="B67" i="68"/>
  <c r="Z66" i="68"/>
  <c r="X66" i="68"/>
  <c r="N66" i="68"/>
  <c r="L66" i="68"/>
  <c r="B66" i="68"/>
  <c r="Z65" i="68"/>
  <c r="X65" i="68"/>
  <c r="L65" i="68"/>
  <c r="N65" i="68" s="1"/>
  <c r="B65" i="68"/>
  <c r="T64" i="68"/>
  <c r="P64" i="68"/>
  <c r="H64" i="68"/>
  <c r="D64" i="68"/>
  <c r="L64" i="68" s="1"/>
  <c r="N64" i="68" s="1"/>
  <c r="B64" i="68"/>
  <c r="X63" i="68"/>
  <c r="Z63" i="68" s="1"/>
  <c r="V63" i="68"/>
  <c r="N63" i="68"/>
  <c r="L63" i="68"/>
  <c r="B63" i="68"/>
  <c r="X62" i="68"/>
  <c r="Z62" i="68" s="1"/>
  <c r="T62" i="68"/>
  <c r="P62" i="68"/>
  <c r="L62" i="68"/>
  <c r="N62" i="68" s="1"/>
  <c r="H62" i="68"/>
  <c r="D62" i="68"/>
  <c r="B62" i="68"/>
  <c r="Z61" i="68"/>
  <c r="X61" i="68"/>
  <c r="N61" i="68"/>
  <c r="L61" i="68"/>
  <c r="B61" i="68"/>
  <c r="V60" i="68"/>
  <c r="T60" i="68"/>
  <c r="P60" i="68"/>
  <c r="L60" i="68"/>
  <c r="H60" i="68"/>
  <c r="N60" i="68" s="1"/>
  <c r="D60" i="68"/>
  <c r="B60" i="68"/>
  <c r="X59" i="68"/>
  <c r="Z59" i="68" s="1"/>
  <c r="V59" i="68"/>
  <c r="L59" i="68"/>
  <c r="N59" i="68" s="1"/>
  <c r="J59" i="68"/>
  <c r="B59" i="68"/>
  <c r="T58" i="68"/>
  <c r="P58" i="68"/>
  <c r="X58" i="68" s="1"/>
  <c r="Z58" i="68" s="1"/>
  <c r="H58" i="68"/>
  <c r="D58" i="68"/>
  <c r="B58" i="68"/>
  <c r="Z57" i="68"/>
  <c r="X57" i="68"/>
  <c r="N57" i="68"/>
  <c r="L57" i="68"/>
  <c r="B57" i="68"/>
  <c r="Z56" i="68"/>
  <c r="X56" i="68"/>
  <c r="N56" i="68"/>
  <c r="L56" i="68"/>
  <c r="J56" i="68"/>
  <c r="F56" i="68"/>
  <c r="B56" i="68"/>
  <c r="X55" i="68"/>
  <c r="Z55" i="68" s="1"/>
  <c r="V55" i="68"/>
  <c r="N55" i="68"/>
  <c r="L55" i="68"/>
  <c r="B55" i="68"/>
  <c r="Z54" i="68"/>
  <c r="X54" i="68"/>
  <c r="N54" i="68"/>
  <c r="L54" i="68"/>
  <c r="B54" i="68"/>
  <c r="Z53" i="68"/>
  <c r="X53" i="68"/>
  <c r="N53" i="68"/>
  <c r="L53" i="68"/>
  <c r="B53" i="68"/>
  <c r="X52" i="68"/>
  <c r="Z52" i="68" s="1"/>
  <c r="L52" i="68"/>
  <c r="N52" i="68" s="1"/>
  <c r="J52" i="68"/>
  <c r="B52" i="68"/>
  <c r="X51" i="68"/>
  <c r="Z51" i="68" s="1"/>
  <c r="V51" i="68"/>
  <c r="N51" i="68"/>
  <c r="L51" i="68"/>
  <c r="B51" i="68"/>
  <c r="Z50" i="68"/>
  <c r="X50" i="68"/>
  <c r="N50" i="68"/>
  <c r="L50" i="68"/>
  <c r="B50" i="68"/>
  <c r="Z49" i="68"/>
  <c r="X49" i="68"/>
  <c r="N49" i="68"/>
  <c r="L49" i="68"/>
  <c r="B49" i="68"/>
  <c r="X48" i="68"/>
  <c r="Z48" i="68" s="1"/>
  <c r="L48" i="68"/>
  <c r="N48" i="68" s="1"/>
  <c r="J48" i="68"/>
  <c r="B48" i="68"/>
  <c r="T47" i="68"/>
  <c r="P47" i="68"/>
  <c r="X47" i="68" s="1"/>
  <c r="H47" i="68"/>
  <c r="F47" i="68"/>
  <c r="D47" i="68"/>
  <c r="L47" i="68" s="1"/>
  <c r="B47" i="68"/>
  <c r="X46" i="68"/>
  <c r="Z46" i="68" s="1"/>
  <c r="N46" i="68"/>
  <c r="L46" i="68"/>
  <c r="B46" i="68"/>
  <c r="Z45" i="68"/>
  <c r="X45" i="68"/>
  <c r="N45" i="68"/>
  <c r="L45" i="68"/>
  <c r="B45" i="68"/>
  <c r="Z44" i="68"/>
  <c r="X44" i="68"/>
  <c r="V44" i="68"/>
  <c r="N44" i="68"/>
  <c r="L44" i="68"/>
  <c r="B44" i="68"/>
  <c r="Z43" i="68"/>
  <c r="X43" i="68"/>
  <c r="L43" i="68"/>
  <c r="N43" i="68" s="1"/>
  <c r="J43" i="68"/>
  <c r="B43" i="68"/>
  <c r="X42" i="68"/>
  <c r="Z42" i="68" s="1"/>
  <c r="N42" i="68"/>
  <c r="L42" i="68"/>
  <c r="B42" i="68"/>
  <c r="Z41" i="68"/>
  <c r="X41" i="68"/>
  <c r="N41" i="68"/>
  <c r="L41" i="68"/>
  <c r="B41" i="68"/>
  <c r="X40" i="68"/>
  <c r="Z40" i="68" s="1"/>
  <c r="V40" i="68"/>
  <c r="N40" i="68"/>
  <c r="L40" i="68"/>
  <c r="F40" i="68"/>
  <c r="B40" i="68"/>
  <c r="Z39" i="68"/>
  <c r="X39" i="68"/>
  <c r="L39" i="68"/>
  <c r="N39" i="68" s="1"/>
  <c r="J39" i="68"/>
  <c r="B39" i="68"/>
  <c r="X38" i="68"/>
  <c r="T38" i="68"/>
  <c r="P38" i="68"/>
  <c r="H38" i="68"/>
  <c r="D38" i="68"/>
  <c r="B38" i="68"/>
  <c r="T37" i="68"/>
  <c r="X37" i="68" s="1"/>
  <c r="Z37" i="68" s="1"/>
  <c r="P37" i="68"/>
  <c r="L37" i="68"/>
  <c r="J37" i="68"/>
  <c r="H37" i="68"/>
  <c r="N37" i="68" s="1"/>
  <c r="D37" i="68"/>
  <c r="Z33" i="68"/>
  <c r="X33" i="68"/>
  <c r="N33" i="68"/>
  <c r="L33" i="68"/>
  <c r="F33" i="68"/>
  <c r="B33" i="68"/>
  <c r="Z32" i="68"/>
  <c r="X32" i="68"/>
  <c r="N32" i="68"/>
  <c r="L32" i="68"/>
  <c r="J32" i="68"/>
  <c r="B32" i="68"/>
  <c r="Z31" i="68"/>
  <c r="X31" i="68"/>
  <c r="N31" i="68"/>
  <c r="L31" i="68"/>
  <c r="J31" i="68"/>
  <c r="B31" i="68"/>
  <c r="Z30" i="68"/>
  <c r="X30" i="68"/>
  <c r="N30" i="68"/>
  <c r="L30" i="68"/>
  <c r="J30" i="68"/>
  <c r="B30" i="68"/>
  <c r="Z29" i="68"/>
  <c r="X29" i="68"/>
  <c r="N29" i="68"/>
  <c r="L29" i="68"/>
  <c r="B29" i="68"/>
  <c r="Z28" i="68"/>
  <c r="X28" i="68"/>
  <c r="N28" i="68"/>
  <c r="L28" i="68"/>
  <c r="J28" i="68"/>
  <c r="B28" i="68"/>
  <c r="Z27" i="68"/>
  <c r="X27" i="68"/>
  <c r="N27" i="68"/>
  <c r="L27" i="68"/>
  <c r="J27" i="68"/>
  <c r="B27" i="68"/>
  <c r="Z26" i="68"/>
  <c r="X26" i="68"/>
  <c r="N26" i="68"/>
  <c r="L26" i="68"/>
  <c r="J26" i="68"/>
  <c r="B26" i="68"/>
  <c r="Z25" i="68"/>
  <c r="T25" i="68"/>
  <c r="P25" i="68"/>
  <c r="X25" i="68" s="1"/>
  <c r="L25" i="68"/>
  <c r="J25" i="68"/>
  <c r="H25" i="68"/>
  <c r="N25" i="68" s="1"/>
  <c r="D25" i="68"/>
  <c r="Z23" i="68"/>
  <c r="P23" i="68"/>
  <c r="X23" i="68" s="1"/>
  <c r="N23" i="68"/>
  <c r="D23" i="68"/>
  <c r="L23" i="68" s="1"/>
  <c r="B23" i="68"/>
  <c r="Z22" i="68"/>
  <c r="X22" i="68"/>
  <c r="P22" i="68"/>
  <c r="N22" i="68"/>
  <c r="D22" i="68"/>
  <c r="L22" i="68" s="1"/>
  <c r="B22" i="68"/>
  <c r="Z21" i="68"/>
  <c r="X21" i="68"/>
  <c r="P21" i="68"/>
  <c r="N21" i="68"/>
  <c r="D21" i="68"/>
  <c r="L21" i="68" s="1"/>
  <c r="B21" i="68"/>
  <c r="P20" i="68"/>
  <c r="X20" i="68" s="1"/>
  <c r="Z20" i="68" s="1"/>
  <c r="D20" i="68"/>
  <c r="L20" i="68" s="1"/>
  <c r="N20" i="68" s="1"/>
  <c r="B20" i="68"/>
  <c r="Z19" i="68"/>
  <c r="P19" i="68"/>
  <c r="X19" i="68" s="1"/>
  <c r="N19" i="68"/>
  <c r="L19" i="68"/>
  <c r="D19" i="68"/>
  <c r="B19" i="68"/>
  <c r="Z18" i="68"/>
  <c r="X18" i="68"/>
  <c r="P18" i="68"/>
  <c r="N18" i="68"/>
  <c r="L18" i="68"/>
  <c r="D18" i="68"/>
  <c r="B18" i="68"/>
  <c r="Z17" i="68"/>
  <c r="P17" i="68"/>
  <c r="X17" i="68" s="1"/>
  <c r="N17" i="68"/>
  <c r="D17" i="68"/>
  <c r="L17" i="68" s="1"/>
  <c r="B17" i="68"/>
  <c r="Z16" i="68"/>
  <c r="P16" i="68"/>
  <c r="X16" i="68" s="1"/>
  <c r="N16" i="68"/>
  <c r="L16" i="68"/>
  <c r="D16" i="68"/>
  <c r="B16" i="68"/>
  <c r="Z15" i="68"/>
  <c r="X15" i="68"/>
  <c r="P15" i="68"/>
  <c r="N15" i="68"/>
  <c r="L15" i="68"/>
  <c r="D15" i="68"/>
  <c r="B15" i="68"/>
  <c r="Z14" i="68"/>
  <c r="P14" i="68"/>
  <c r="X14" i="68" s="1"/>
  <c r="N14" i="68"/>
  <c r="L14" i="68"/>
  <c r="D14" i="68"/>
  <c r="B14" i="68"/>
  <c r="Z13" i="68"/>
  <c r="P13" i="68"/>
  <c r="N13" i="68"/>
  <c r="D13" i="68"/>
  <c r="L13" i="68" s="1"/>
  <c r="B13" i="68"/>
  <c r="T12" i="68"/>
  <c r="H12" i="68"/>
  <c r="J77" i="68" s="1"/>
  <c r="D12" i="68"/>
  <c r="F64" i="68" s="1"/>
  <c r="D6" i="68"/>
  <c r="D4" i="68"/>
  <c r="J107" i="63"/>
  <c r="J104" i="63"/>
  <c r="Z102" i="63"/>
  <c r="X102" i="63"/>
  <c r="N102" i="63"/>
  <c r="L102" i="63"/>
  <c r="F102" i="63"/>
  <c r="R100" i="63"/>
  <c r="P98" i="63"/>
  <c r="P96" i="63" s="1"/>
  <c r="D98" i="63"/>
  <c r="L98" i="63" s="1"/>
  <c r="N98" i="63" s="1"/>
  <c r="B98" i="63"/>
  <c r="Z97" i="63"/>
  <c r="X97" i="63"/>
  <c r="P97" i="63"/>
  <c r="D97" i="63"/>
  <c r="L97" i="63" s="1"/>
  <c r="N97" i="63" s="1"/>
  <c r="B97" i="63"/>
  <c r="X96" i="63"/>
  <c r="T96" i="63"/>
  <c r="Z96" i="63" s="1"/>
  <c r="H96" i="63"/>
  <c r="D96" i="63"/>
  <c r="L96" i="63" s="1"/>
  <c r="N96" i="63" s="1"/>
  <c r="X94" i="63"/>
  <c r="Z94" i="63" s="1"/>
  <c r="L94" i="63"/>
  <c r="N94" i="63" s="1"/>
  <c r="J94" i="63"/>
  <c r="B94" i="63"/>
  <c r="T93" i="63"/>
  <c r="R93" i="63"/>
  <c r="P93" i="63"/>
  <c r="X93" i="63" s="1"/>
  <c r="Z93" i="63" s="1"/>
  <c r="H93" i="63"/>
  <c r="D93" i="63"/>
  <c r="L93" i="63" s="1"/>
  <c r="B93" i="63"/>
  <c r="Z92" i="63"/>
  <c r="X92" i="63"/>
  <c r="R92" i="63"/>
  <c r="N92" i="63"/>
  <c r="L92" i="63"/>
  <c r="B92" i="63"/>
  <c r="Z91" i="63"/>
  <c r="X91" i="63"/>
  <c r="N91" i="63"/>
  <c r="L91" i="63"/>
  <c r="J91" i="63"/>
  <c r="F91" i="63"/>
  <c r="B91" i="63"/>
  <c r="T90" i="63"/>
  <c r="Z90" i="63" s="1"/>
  <c r="P90" i="63"/>
  <c r="X90" i="63" s="1"/>
  <c r="H90" i="63"/>
  <c r="F90" i="63"/>
  <c r="D90" i="63"/>
  <c r="B90" i="63"/>
  <c r="X89" i="63"/>
  <c r="Z89" i="63" s="1"/>
  <c r="N89" i="63"/>
  <c r="L89" i="63"/>
  <c r="B89" i="63"/>
  <c r="Z88" i="63"/>
  <c r="X88" i="63"/>
  <c r="T88" i="63"/>
  <c r="R88" i="63"/>
  <c r="P88" i="63"/>
  <c r="H88" i="63"/>
  <c r="N88" i="63" s="1"/>
  <c r="D88" i="63"/>
  <c r="L88" i="63" s="1"/>
  <c r="B88" i="63"/>
  <c r="Z87" i="63"/>
  <c r="X87" i="63"/>
  <c r="R87" i="63"/>
  <c r="L87" i="63"/>
  <c r="N87" i="63" s="1"/>
  <c r="B87" i="63"/>
  <c r="X86" i="63"/>
  <c r="T86" i="63"/>
  <c r="P86" i="63"/>
  <c r="H86" i="63"/>
  <c r="D86" i="63"/>
  <c r="L86" i="63" s="1"/>
  <c r="N86" i="63" s="1"/>
  <c r="B86" i="63"/>
  <c r="Z85" i="63"/>
  <c r="X85" i="63"/>
  <c r="L85" i="63"/>
  <c r="N85" i="63" s="1"/>
  <c r="B85" i="63"/>
  <c r="X84" i="63"/>
  <c r="Z84" i="63" s="1"/>
  <c r="R84" i="63"/>
  <c r="N84" i="63"/>
  <c r="L84" i="63"/>
  <c r="B84" i="63"/>
  <c r="Z83" i="63"/>
  <c r="X83" i="63"/>
  <c r="N83" i="63"/>
  <c r="L83" i="63"/>
  <c r="J83" i="63"/>
  <c r="F83" i="63"/>
  <c r="B83" i="63"/>
  <c r="Z82" i="63"/>
  <c r="X82" i="63"/>
  <c r="N82" i="63"/>
  <c r="L82" i="63"/>
  <c r="B82" i="63"/>
  <c r="X81" i="63"/>
  <c r="Z81" i="63" s="1"/>
  <c r="L81" i="63"/>
  <c r="N81" i="63" s="1"/>
  <c r="B81" i="63"/>
  <c r="X80" i="63"/>
  <c r="Z80" i="63" s="1"/>
  <c r="R80" i="63"/>
  <c r="N80" i="63"/>
  <c r="L80" i="63"/>
  <c r="B80" i="63"/>
  <c r="X79" i="63"/>
  <c r="Z79" i="63" s="1"/>
  <c r="N79" i="63"/>
  <c r="L79" i="63"/>
  <c r="J79" i="63"/>
  <c r="F79" i="63"/>
  <c r="B79" i="63"/>
  <c r="T78" i="63"/>
  <c r="Z78" i="63" s="1"/>
  <c r="P78" i="63"/>
  <c r="X78" i="63" s="1"/>
  <c r="H78" i="63"/>
  <c r="F78" i="63"/>
  <c r="D78" i="63"/>
  <c r="B78" i="63"/>
  <c r="X77" i="63"/>
  <c r="Z77" i="63" s="1"/>
  <c r="N77" i="63"/>
  <c r="L77" i="63"/>
  <c r="B77" i="63"/>
  <c r="Z76" i="63"/>
  <c r="X76" i="63"/>
  <c r="T76" i="63"/>
  <c r="R76" i="63"/>
  <c r="P76" i="63"/>
  <c r="H76" i="63"/>
  <c r="N76" i="63" s="1"/>
  <c r="D76" i="63"/>
  <c r="L76" i="63" s="1"/>
  <c r="B76" i="63"/>
  <c r="Z75" i="63"/>
  <c r="X75" i="63"/>
  <c r="R75" i="63"/>
  <c r="L75" i="63"/>
  <c r="N75" i="63" s="1"/>
  <c r="B75" i="63"/>
  <c r="Z74" i="63"/>
  <c r="X74" i="63"/>
  <c r="N74" i="63"/>
  <c r="L74" i="63"/>
  <c r="J74" i="63"/>
  <c r="B74" i="63"/>
  <c r="Z73" i="63"/>
  <c r="X73" i="63"/>
  <c r="N73" i="63"/>
  <c r="L73" i="63"/>
  <c r="B73" i="63"/>
  <c r="T72" i="63"/>
  <c r="P72" i="63"/>
  <c r="X72" i="63" s="1"/>
  <c r="Z72" i="63" s="1"/>
  <c r="L72" i="63"/>
  <c r="J72" i="63"/>
  <c r="H72" i="63"/>
  <c r="N72" i="63" s="1"/>
  <c r="D72" i="63"/>
  <c r="B72" i="63"/>
  <c r="X71" i="63"/>
  <c r="Z71" i="63" s="1"/>
  <c r="N71" i="63"/>
  <c r="L71" i="63"/>
  <c r="J71" i="63"/>
  <c r="F71" i="63"/>
  <c r="B71" i="63"/>
  <c r="X70" i="63"/>
  <c r="Z70" i="63" s="1"/>
  <c r="L70" i="63"/>
  <c r="N70" i="63" s="1"/>
  <c r="B70" i="63"/>
  <c r="Z69" i="63"/>
  <c r="X69" i="63"/>
  <c r="N69" i="63"/>
  <c r="L69" i="63"/>
  <c r="B69" i="63"/>
  <c r="X68" i="63"/>
  <c r="Z68" i="63" s="1"/>
  <c r="R68" i="63"/>
  <c r="N68" i="63"/>
  <c r="L68" i="63"/>
  <c r="B68" i="63"/>
  <c r="T67" i="63"/>
  <c r="P67" i="63"/>
  <c r="X67" i="63" s="1"/>
  <c r="L67" i="63"/>
  <c r="N67" i="63" s="1"/>
  <c r="H67" i="63"/>
  <c r="D67" i="63"/>
  <c r="B67" i="63"/>
  <c r="X66" i="63"/>
  <c r="Z66" i="63" s="1"/>
  <c r="L66" i="63"/>
  <c r="N66" i="63" s="1"/>
  <c r="J66" i="63"/>
  <c r="B66" i="63"/>
  <c r="X65" i="63"/>
  <c r="T65" i="63"/>
  <c r="Z65" i="63" s="1"/>
  <c r="P65" i="63"/>
  <c r="J65" i="63"/>
  <c r="H65" i="63"/>
  <c r="D65" i="63"/>
  <c r="B65" i="63"/>
  <c r="Z64" i="63"/>
  <c r="X64" i="63"/>
  <c r="L64" i="63"/>
  <c r="N64" i="63" s="1"/>
  <c r="F64" i="63"/>
  <c r="B64" i="63"/>
  <c r="T63" i="63"/>
  <c r="Z63" i="63" s="1"/>
  <c r="P63" i="63"/>
  <c r="X63" i="63" s="1"/>
  <c r="J63" i="63"/>
  <c r="H63" i="63"/>
  <c r="F63" i="63"/>
  <c r="D63" i="63"/>
  <c r="L63" i="63" s="1"/>
  <c r="N63" i="63" s="1"/>
  <c r="B63" i="63"/>
  <c r="X62" i="63"/>
  <c r="Z62" i="63" s="1"/>
  <c r="L62" i="63"/>
  <c r="N62" i="63" s="1"/>
  <c r="B62" i="63"/>
  <c r="X61" i="63"/>
  <c r="Z61" i="63" s="1"/>
  <c r="T61" i="63"/>
  <c r="P61" i="63"/>
  <c r="H61" i="63"/>
  <c r="D61" i="63"/>
  <c r="L61" i="63" s="1"/>
  <c r="B61" i="63"/>
  <c r="Z60" i="63"/>
  <c r="X60" i="63"/>
  <c r="N60" i="63"/>
  <c r="L60" i="63"/>
  <c r="B60" i="63"/>
  <c r="T59" i="63"/>
  <c r="P59" i="63"/>
  <c r="L59" i="63"/>
  <c r="H59" i="63"/>
  <c r="N59" i="63" s="1"/>
  <c r="D59" i="63"/>
  <c r="B59" i="63"/>
  <c r="X58" i="63"/>
  <c r="Z58" i="63" s="1"/>
  <c r="L58" i="63"/>
  <c r="N58" i="63" s="1"/>
  <c r="J58" i="63"/>
  <c r="B58" i="63"/>
  <c r="T57" i="63"/>
  <c r="R57" i="63"/>
  <c r="P57" i="63"/>
  <c r="X57" i="63" s="1"/>
  <c r="Z57" i="63" s="1"/>
  <c r="H57" i="63"/>
  <c r="D57" i="63"/>
  <c r="L57" i="63" s="1"/>
  <c r="B57" i="63"/>
  <c r="X56" i="63"/>
  <c r="Z56" i="63" s="1"/>
  <c r="R56" i="63"/>
  <c r="N56" i="63"/>
  <c r="L56" i="63"/>
  <c r="B56" i="63"/>
  <c r="T55" i="63"/>
  <c r="R55" i="63"/>
  <c r="P55" i="63"/>
  <c r="X55" i="63" s="1"/>
  <c r="N55" i="63"/>
  <c r="L55" i="63"/>
  <c r="H55" i="63"/>
  <c r="D55" i="63"/>
  <c r="B55" i="63"/>
  <c r="X54" i="63"/>
  <c r="Z54" i="63" s="1"/>
  <c r="R54" i="63"/>
  <c r="L54" i="63"/>
  <c r="N54" i="63" s="1"/>
  <c r="J54" i="63"/>
  <c r="B54" i="63"/>
  <c r="X53" i="63"/>
  <c r="T53" i="63"/>
  <c r="Z53" i="63" s="1"/>
  <c r="P53" i="63"/>
  <c r="J53" i="63"/>
  <c r="H53" i="63"/>
  <c r="D53" i="63"/>
  <c r="B53" i="63"/>
  <c r="Z52" i="63"/>
  <c r="X52" i="63"/>
  <c r="L52" i="63"/>
  <c r="N52" i="63" s="1"/>
  <c r="F52" i="63"/>
  <c r="B52" i="63"/>
  <c r="T51" i="63"/>
  <c r="P51" i="63"/>
  <c r="X51" i="63" s="1"/>
  <c r="J51" i="63"/>
  <c r="H51" i="63"/>
  <c r="F51" i="63"/>
  <c r="D51" i="63"/>
  <c r="L51" i="63" s="1"/>
  <c r="N51" i="63" s="1"/>
  <c r="B51" i="63"/>
  <c r="X50" i="63"/>
  <c r="Z50" i="63" s="1"/>
  <c r="L50" i="63"/>
  <c r="N50" i="63" s="1"/>
  <c r="B50" i="63"/>
  <c r="Z49" i="63"/>
  <c r="X49" i="63"/>
  <c r="N49" i="63"/>
  <c r="L49" i="63"/>
  <c r="B49" i="63"/>
  <c r="T48" i="63"/>
  <c r="R48" i="63"/>
  <c r="P48" i="63"/>
  <c r="J48" i="63"/>
  <c r="H48" i="63"/>
  <c r="D48" i="63"/>
  <c r="L48" i="63" s="1"/>
  <c r="N48" i="63" s="1"/>
  <c r="B48" i="63"/>
  <c r="Z47" i="63"/>
  <c r="X47" i="63"/>
  <c r="R47" i="63"/>
  <c r="N47" i="63"/>
  <c r="L47" i="63"/>
  <c r="F47" i="63"/>
  <c r="B47" i="63"/>
  <c r="T46" i="63"/>
  <c r="Z46" i="63" s="1"/>
  <c r="P46" i="63"/>
  <c r="X46" i="63" s="1"/>
  <c r="N46" i="63"/>
  <c r="L46" i="63"/>
  <c r="H46" i="63"/>
  <c r="F46" i="63"/>
  <c r="D46" i="63"/>
  <c r="B46" i="63"/>
  <c r="Z45" i="63"/>
  <c r="X45" i="63"/>
  <c r="L45" i="63"/>
  <c r="N45" i="63" s="1"/>
  <c r="B45" i="63"/>
  <c r="Z44" i="63"/>
  <c r="X44" i="63"/>
  <c r="R44" i="63"/>
  <c r="L44" i="63"/>
  <c r="N44" i="63" s="1"/>
  <c r="F44" i="63"/>
  <c r="B44" i="63"/>
  <c r="T43" i="63"/>
  <c r="P43" i="63"/>
  <c r="X43" i="63" s="1"/>
  <c r="J43" i="63"/>
  <c r="H43" i="63"/>
  <c r="F43" i="63"/>
  <c r="D43" i="63"/>
  <c r="L43" i="63" s="1"/>
  <c r="N43" i="63" s="1"/>
  <c r="B43" i="63"/>
  <c r="Z42" i="63"/>
  <c r="X42" i="63"/>
  <c r="N42" i="63"/>
  <c r="L42" i="63"/>
  <c r="B42" i="63"/>
  <c r="Z41" i="63"/>
  <c r="T41" i="63"/>
  <c r="P41" i="63"/>
  <c r="X41" i="63" s="1"/>
  <c r="J41" i="63"/>
  <c r="H41" i="63"/>
  <c r="N41" i="63" s="1"/>
  <c r="D41" i="63"/>
  <c r="L41" i="63" s="1"/>
  <c r="B41" i="63"/>
  <c r="Z40" i="63"/>
  <c r="X40" i="63"/>
  <c r="N40" i="63"/>
  <c r="L40" i="63"/>
  <c r="B40" i="63"/>
  <c r="Z39" i="63"/>
  <c r="X39" i="63"/>
  <c r="V39" i="63"/>
  <c r="R39" i="63"/>
  <c r="N39" i="63"/>
  <c r="L39" i="63"/>
  <c r="F39" i="63"/>
  <c r="B39" i="63"/>
  <c r="X38" i="63"/>
  <c r="Z38" i="63" s="1"/>
  <c r="R38" i="63"/>
  <c r="L38" i="63"/>
  <c r="N38" i="63" s="1"/>
  <c r="J38" i="63"/>
  <c r="B38" i="63"/>
  <c r="X37" i="63"/>
  <c r="Z37" i="63" s="1"/>
  <c r="N37" i="63"/>
  <c r="L37" i="63"/>
  <c r="J37" i="63"/>
  <c r="B37" i="63"/>
  <c r="Z36" i="63"/>
  <c r="X36" i="63"/>
  <c r="N36" i="63"/>
  <c r="L36" i="63"/>
  <c r="B36" i="63"/>
  <c r="Z35" i="63"/>
  <c r="X35" i="63"/>
  <c r="V35" i="63"/>
  <c r="R35" i="63"/>
  <c r="N35" i="63"/>
  <c r="L35" i="63"/>
  <c r="F35" i="63"/>
  <c r="B35" i="63"/>
  <c r="X34" i="63"/>
  <c r="Z34" i="63" s="1"/>
  <c r="R34" i="63"/>
  <c r="L34" i="63"/>
  <c r="N34" i="63" s="1"/>
  <c r="J34" i="63"/>
  <c r="B34" i="63"/>
  <c r="Z33" i="63"/>
  <c r="X33" i="63"/>
  <c r="N33" i="63"/>
  <c r="L33" i="63"/>
  <c r="J33" i="63"/>
  <c r="B33" i="63"/>
  <c r="Z32" i="63"/>
  <c r="X32" i="63"/>
  <c r="N32" i="63"/>
  <c r="L32" i="63"/>
  <c r="B32" i="63"/>
  <c r="Z31" i="63"/>
  <c r="X31" i="63"/>
  <c r="V31" i="63"/>
  <c r="R31" i="63"/>
  <c r="N31" i="63"/>
  <c r="L31" i="63"/>
  <c r="F31" i="63"/>
  <c r="B31" i="63"/>
  <c r="T30" i="63"/>
  <c r="Z30" i="63" s="1"/>
  <c r="R30" i="63"/>
  <c r="P30" i="63"/>
  <c r="X30" i="63" s="1"/>
  <c r="N30" i="63"/>
  <c r="L30" i="63"/>
  <c r="H30" i="63"/>
  <c r="F30" i="63"/>
  <c r="D30" i="63"/>
  <c r="B30" i="63"/>
  <c r="Z29" i="63"/>
  <c r="X29" i="63"/>
  <c r="R29" i="63"/>
  <c r="N29" i="63"/>
  <c r="L29" i="63"/>
  <c r="J29" i="63"/>
  <c r="B29" i="63"/>
  <c r="Z28" i="63"/>
  <c r="X28" i="63"/>
  <c r="R28" i="63"/>
  <c r="L28" i="63"/>
  <c r="N28" i="63" s="1"/>
  <c r="J28" i="63"/>
  <c r="F28" i="63"/>
  <c r="B28" i="63"/>
  <c r="Z27" i="63"/>
  <c r="X27" i="63"/>
  <c r="R27" i="63"/>
  <c r="L27" i="63"/>
  <c r="N27" i="63" s="1"/>
  <c r="J27" i="63"/>
  <c r="B27" i="63"/>
  <c r="Z26" i="63"/>
  <c r="X26" i="63"/>
  <c r="V26" i="63"/>
  <c r="R26" i="63"/>
  <c r="N26" i="63"/>
  <c r="L26" i="63"/>
  <c r="J26" i="63"/>
  <c r="B26" i="63"/>
  <c r="Z25" i="63"/>
  <c r="X25" i="63"/>
  <c r="R25" i="63"/>
  <c r="N25" i="63"/>
  <c r="L25" i="63"/>
  <c r="J25" i="63"/>
  <c r="B25" i="63"/>
  <c r="Z24" i="63"/>
  <c r="X24" i="63"/>
  <c r="R24" i="63"/>
  <c r="L24" i="63"/>
  <c r="N24" i="63" s="1"/>
  <c r="J24" i="63"/>
  <c r="F24" i="63"/>
  <c r="B24" i="63"/>
  <c r="Z23" i="63"/>
  <c r="X23" i="63"/>
  <c r="R23" i="63"/>
  <c r="L23" i="63"/>
  <c r="N23" i="63" s="1"/>
  <c r="J23" i="63"/>
  <c r="B23" i="63"/>
  <c r="X22" i="63"/>
  <c r="Z22" i="63" s="1"/>
  <c r="R22" i="63"/>
  <c r="L22" i="63"/>
  <c r="N22" i="63" s="1"/>
  <c r="J22" i="63"/>
  <c r="B22" i="63"/>
  <c r="Z21" i="63"/>
  <c r="X21" i="63"/>
  <c r="R21" i="63"/>
  <c r="L21" i="63"/>
  <c r="N21" i="63" s="1"/>
  <c r="J21" i="63"/>
  <c r="B21" i="63"/>
  <c r="Z20" i="63"/>
  <c r="X20" i="63"/>
  <c r="R20" i="63"/>
  <c r="L20" i="63"/>
  <c r="N20" i="63" s="1"/>
  <c r="J20" i="63"/>
  <c r="F20" i="63"/>
  <c r="B20" i="63"/>
  <c r="T19" i="63"/>
  <c r="P19" i="63"/>
  <c r="X19" i="63" s="1"/>
  <c r="J19" i="63"/>
  <c r="H19" i="63"/>
  <c r="F19" i="63"/>
  <c r="D19" i="63"/>
  <c r="L19" i="63" s="1"/>
  <c r="N19" i="63" s="1"/>
  <c r="B19" i="63"/>
  <c r="V18" i="63"/>
  <c r="T18" i="63"/>
  <c r="R18" i="63"/>
  <c r="P18" i="63"/>
  <c r="X18" i="63" s="1"/>
  <c r="J18" i="63"/>
  <c r="H18" i="63"/>
  <c r="F18" i="63"/>
  <c r="D18" i="63"/>
  <c r="L18" i="63" s="1"/>
  <c r="V16" i="63"/>
  <c r="R16" i="63"/>
  <c r="J16" i="63"/>
  <c r="F16" i="63"/>
  <c r="T14" i="63"/>
  <c r="Z14" i="63" s="1"/>
  <c r="R14" i="63"/>
  <c r="P14" i="63"/>
  <c r="X14" i="63" s="1"/>
  <c r="J14" i="63"/>
  <c r="H14" i="63"/>
  <c r="N14" i="63" s="1"/>
  <c r="F14" i="63"/>
  <c r="D14" i="63"/>
  <c r="L14" i="63" s="1"/>
  <c r="T12" i="63"/>
  <c r="P12" i="63"/>
  <c r="R97" i="63" s="1"/>
  <c r="N12" i="63"/>
  <c r="L12" i="63"/>
  <c r="H12" i="63"/>
  <c r="J92" i="63" s="1"/>
  <c r="D12" i="63"/>
  <c r="F107" i="63" s="1"/>
  <c r="D6" i="63"/>
  <c r="D4" i="63"/>
  <c r="F67" i="61"/>
  <c r="F64" i="61"/>
  <c r="Z62" i="61"/>
  <c r="X62" i="61"/>
  <c r="N62" i="61"/>
  <c r="L62" i="61"/>
  <c r="J62" i="61"/>
  <c r="V60" i="61"/>
  <c r="F60" i="61"/>
  <c r="V58" i="61"/>
  <c r="T58" i="61"/>
  <c r="Z58" i="61" s="1"/>
  <c r="P58" i="61"/>
  <c r="X58" i="61" s="1"/>
  <c r="H58" i="61"/>
  <c r="N58" i="61" s="1"/>
  <c r="F58" i="61"/>
  <c r="D58" i="61"/>
  <c r="L58" i="61" s="1"/>
  <c r="X56" i="61"/>
  <c r="Z56" i="61" s="1"/>
  <c r="V56" i="61"/>
  <c r="N56" i="61"/>
  <c r="L56" i="61"/>
  <c r="B56" i="61"/>
  <c r="V55" i="61"/>
  <c r="T55" i="61"/>
  <c r="P55" i="61"/>
  <c r="X55" i="61" s="1"/>
  <c r="Z55" i="61" s="1"/>
  <c r="N55" i="61"/>
  <c r="J55" i="61"/>
  <c r="H55" i="61"/>
  <c r="D55" i="61"/>
  <c r="L55" i="61" s="1"/>
  <c r="B55" i="61"/>
  <c r="Z54" i="61"/>
  <c r="X54" i="61"/>
  <c r="N54" i="61"/>
  <c r="L54" i="61"/>
  <c r="B54" i="61"/>
  <c r="Z53" i="61"/>
  <c r="X53" i="61"/>
  <c r="V53" i="61"/>
  <c r="R53" i="61"/>
  <c r="N53" i="61"/>
  <c r="L53" i="61"/>
  <c r="F53" i="61"/>
  <c r="B53" i="61"/>
  <c r="T52" i="61"/>
  <c r="P52" i="61"/>
  <c r="X52" i="61" s="1"/>
  <c r="N52" i="61"/>
  <c r="L52" i="61"/>
  <c r="H52" i="61"/>
  <c r="F52" i="61"/>
  <c r="D52" i="61"/>
  <c r="B52" i="61"/>
  <c r="Z51" i="61"/>
  <c r="X51" i="61"/>
  <c r="V51" i="61"/>
  <c r="N51" i="61"/>
  <c r="L51" i="61"/>
  <c r="B51" i="61"/>
  <c r="V50" i="61"/>
  <c r="T50" i="61"/>
  <c r="P50" i="61"/>
  <c r="X50" i="61" s="1"/>
  <c r="Z50" i="61" s="1"/>
  <c r="L50" i="61"/>
  <c r="J50" i="61"/>
  <c r="H50" i="61"/>
  <c r="D50" i="61"/>
  <c r="B50" i="61"/>
  <c r="X49" i="61"/>
  <c r="Z49" i="61" s="1"/>
  <c r="V49" i="61"/>
  <c r="N49" i="61"/>
  <c r="L49" i="61"/>
  <c r="J49" i="61"/>
  <c r="F49" i="61"/>
  <c r="B49" i="61"/>
  <c r="V48" i="61"/>
  <c r="T48" i="61"/>
  <c r="Z48" i="61" s="1"/>
  <c r="P48" i="61"/>
  <c r="X48" i="61" s="1"/>
  <c r="H48" i="61"/>
  <c r="N48" i="61" s="1"/>
  <c r="F48" i="61"/>
  <c r="D48" i="61"/>
  <c r="B48" i="61"/>
  <c r="X47" i="61"/>
  <c r="Z47" i="61" s="1"/>
  <c r="V47" i="61"/>
  <c r="N47" i="61"/>
  <c r="L47" i="61"/>
  <c r="B47" i="61"/>
  <c r="Z46" i="61"/>
  <c r="X46" i="61"/>
  <c r="T46" i="61"/>
  <c r="R46" i="61"/>
  <c r="P46" i="61"/>
  <c r="H46" i="61"/>
  <c r="N46" i="61" s="1"/>
  <c r="D46" i="61"/>
  <c r="L46" i="61" s="1"/>
  <c r="B46" i="61"/>
  <c r="Z45" i="61"/>
  <c r="X45" i="61"/>
  <c r="R45" i="61"/>
  <c r="N45" i="61"/>
  <c r="L45" i="61"/>
  <c r="J45" i="61"/>
  <c r="B45" i="61"/>
  <c r="X44" i="61"/>
  <c r="V44" i="61"/>
  <c r="T44" i="61"/>
  <c r="P44" i="61"/>
  <c r="N44" i="61"/>
  <c r="H44" i="61"/>
  <c r="D44" i="61"/>
  <c r="L44" i="61" s="1"/>
  <c r="B44" i="61"/>
  <c r="X43" i="61"/>
  <c r="Z43" i="61" s="1"/>
  <c r="V43" i="61"/>
  <c r="N43" i="61"/>
  <c r="L43" i="61"/>
  <c r="B43" i="61"/>
  <c r="V42" i="61"/>
  <c r="T42" i="61"/>
  <c r="R42" i="61"/>
  <c r="P42" i="61"/>
  <c r="X42" i="61" s="1"/>
  <c r="J42" i="61"/>
  <c r="H42" i="61"/>
  <c r="N42" i="61" s="1"/>
  <c r="D42" i="61"/>
  <c r="L42" i="61" s="1"/>
  <c r="B42" i="61"/>
  <c r="Z41" i="61"/>
  <c r="X41" i="61"/>
  <c r="V41" i="61"/>
  <c r="R41" i="61"/>
  <c r="N41" i="61"/>
  <c r="L41" i="61"/>
  <c r="F41" i="61"/>
  <c r="B41" i="61"/>
  <c r="T40" i="61"/>
  <c r="P40" i="61"/>
  <c r="X40" i="61" s="1"/>
  <c r="N40" i="61"/>
  <c r="L40" i="61"/>
  <c r="H40" i="61"/>
  <c r="F40" i="61"/>
  <c r="D40" i="61"/>
  <c r="B40" i="61"/>
  <c r="Z39" i="61"/>
  <c r="X39" i="61"/>
  <c r="V39" i="61"/>
  <c r="N39" i="61"/>
  <c r="L39" i="61"/>
  <c r="J39" i="61"/>
  <c r="B39" i="61"/>
  <c r="Z38" i="61"/>
  <c r="X38" i="61"/>
  <c r="V38" i="61"/>
  <c r="R38" i="61"/>
  <c r="N38" i="61"/>
  <c r="L38" i="61"/>
  <c r="F38" i="61"/>
  <c r="B38" i="61"/>
  <c r="Z37" i="61"/>
  <c r="X37" i="61"/>
  <c r="R37" i="61"/>
  <c r="L37" i="61"/>
  <c r="N37" i="61" s="1"/>
  <c r="J37" i="61"/>
  <c r="B37" i="61"/>
  <c r="X36" i="61"/>
  <c r="Z36" i="61" s="1"/>
  <c r="V36" i="61"/>
  <c r="R36" i="61"/>
  <c r="N36" i="61"/>
  <c r="L36" i="61"/>
  <c r="J36" i="61"/>
  <c r="B36" i="61"/>
  <c r="Z35" i="61"/>
  <c r="X35" i="61"/>
  <c r="V35" i="61"/>
  <c r="N35" i="61"/>
  <c r="L35" i="61"/>
  <c r="J35" i="61"/>
  <c r="B35" i="61"/>
  <c r="Z34" i="61"/>
  <c r="X34" i="61"/>
  <c r="V34" i="61"/>
  <c r="R34" i="61"/>
  <c r="N34" i="61"/>
  <c r="L34" i="61"/>
  <c r="F34" i="61"/>
  <c r="B34" i="61"/>
  <c r="Z33" i="61"/>
  <c r="X33" i="61"/>
  <c r="V33" i="61"/>
  <c r="R33" i="61"/>
  <c r="L33" i="61"/>
  <c r="N33" i="61" s="1"/>
  <c r="J33" i="61"/>
  <c r="B33" i="61"/>
  <c r="Z32" i="61"/>
  <c r="X32" i="61"/>
  <c r="V32" i="61"/>
  <c r="R32" i="61"/>
  <c r="N32" i="61"/>
  <c r="L32" i="61"/>
  <c r="J32" i="61"/>
  <c r="B32" i="61"/>
  <c r="Z31" i="61"/>
  <c r="X31" i="61"/>
  <c r="V31" i="61"/>
  <c r="N31" i="61"/>
  <c r="L31" i="61"/>
  <c r="J31" i="61"/>
  <c r="B31" i="61"/>
  <c r="Z30" i="61"/>
  <c r="X30" i="61"/>
  <c r="V30" i="61"/>
  <c r="R30" i="61"/>
  <c r="N30" i="61"/>
  <c r="L30" i="61"/>
  <c r="F30" i="61"/>
  <c r="B30" i="61"/>
  <c r="V29" i="61"/>
  <c r="T29" i="61"/>
  <c r="P29" i="61"/>
  <c r="X29" i="61" s="1"/>
  <c r="J29" i="61"/>
  <c r="H29" i="61"/>
  <c r="F29" i="61"/>
  <c r="D29" i="61"/>
  <c r="L29" i="61" s="1"/>
  <c r="N29" i="61" s="1"/>
  <c r="B29" i="61"/>
  <c r="X28" i="61"/>
  <c r="Z28" i="61" s="1"/>
  <c r="V28" i="61"/>
  <c r="L28" i="61"/>
  <c r="N28" i="61" s="1"/>
  <c r="B28" i="61"/>
  <c r="X27" i="61"/>
  <c r="Z27" i="61" s="1"/>
  <c r="V27" i="61"/>
  <c r="L27" i="61"/>
  <c r="N27" i="61" s="1"/>
  <c r="B27" i="61"/>
  <c r="X26" i="61"/>
  <c r="Z26" i="61" s="1"/>
  <c r="V26" i="61"/>
  <c r="R26" i="61"/>
  <c r="N26" i="61"/>
  <c r="L26" i="61"/>
  <c r="B26" i="61"/>
  <c r="Z25" i="61"/>
  <c r="X25" i="61"/>
  <c r="V25" i="61"/>
  <c r="N25" i="61"/>
  <c r="L25" i="61"/>
  <c r="J25" i="61"/>
  <c r="F25" i="61"/>
  <c r="B25" i="61"/>
  <c r="Z24" i="61"/>
  <c r="X24" i="61"/>
  <c r="V24" i="61"/>
  <c r="N24" i="61"/>
  <c r="L24" i="61"/>
  <c r="B24" i="61"/>
  <c r="X23" i="61"/>
  <c r="Z23" i="61" s="1"/>
  <c r="V23" i="61"/>
  <c r="L23" i="61"/>
  <c r="N23" i="61" s="1"/>
  <c r="B23" i="61"/>
  <c r="X22" i="61"/>
  <c r="Z22" i="61" s="1"/>
  <c r="V22" i="61"/>
  <c r="R22" i="61"/>
  <c r="N22" i="61"/>
  <c r="L22" i="61"/>
  <c r="B22" i="61"/>
  <c r="X21" i="61"/>
  <c r="Z21" i="61" s="1"/>
  <c r="V21" i="61"/>
  <c r="N21" i="61"/>
  <c r="L21" i="61"/>
  <c r="J21" i="61"/>
  <c r="F21" i="61"/>
  <c r="B21" i="61"/>
  <c r="X20" i="61"/>
  <c r="Z20" i="61" s="1"/>
  <c r="V20" i="61"/>
  <c r="L20" i="61"/>
  <c r="N20" i="61" s="1"/>
  <c r="B20" i="61"/>
  <c r="Z19" i="61"/>
  <c r="X19" i="61"/>
  <c r="V19" i="61"/>
  <c r="T19" i="61"/>
  <c r="P19" i="61"/>
  <c r="J19" i="61"/>
  <c r="H19" i="61"/>
  <c r="D19" i="61"/>
  <c r="L19" i="61" s="1"/>
  <c r="N19" i="61" s="1"/>
  <c r="B19" i="61"/>
  <c r="Z18" i="61"/>
  <c r="X18" i="61"/>
  <c r="T18" i="61"/>
  <c r="R18" i="61"/>
  <c r="P18" i="61"/>
  <c r="H18" i="61"/>
  <c r="D18" i="61"/>
  <c r="L18" i="61" s="1"/>
  <c r="R16" i="61"/>
  <c r="D16" i="61"/>
  <c r="Z14" i="61"/>
  <c r="X14" i="61"/>
  <c r="T14" i="61"/>
  <c r="T16" i="61" s="1"/>
  <c r="T60" i="61" s="1"/>
  <c r="R14" i="61"/>
  <c r="P14" i="61"/>
  <c r="H14" i="61"/>
  <c r="N14" i="61" s="1"/>
  <c r="D14" i="61"/>
  <c r="L14" i="61" s="1"/>
  <c r="Z12" i="61"/>
  <c r="X12" i="61"/>
  <c r="T12" i="61"/>
  <c r="V54" i="61" s="1"/>
  <c r="P12" i="61"/>
  <c r="R44" i="61" s="1"/>
  <c r="N12" i="61"/>
  <c r="H12" i="61"/>
  <c r="J67" i="61" s="1"/>
  <c r="D12" i="61"/>
  <c r="F51" i="61" s="1"/>
  <c r="D6" i="61"/>
  <c r="D4" i="61"/>
  <c r="Z60" i="60"/>
  <c r="X60" i="60"/>
  <c r="V60" i="60"/>
  <c r="N60" i="60"/>
  <c r="L60" i="60"/>
  <c r="J60" i="60"/>
  <c r="P58" i="60"/>
  <c r="F58" i="60"/>
  <c r="T56" i="60"/>
  <c r="Z56" i="60" s="1"/>
  <c r="P56" i="60"/>
  <c r="X56" i="60" s="1"/>
  <c r="N56" i="60"/>
  <c r="L56" i="60"/>
  <c r="H56" i="60"/>
  <c r="F56" i="60"/>
  <c r="D56" i="60"/>
  <c r="X54" i="60"/>
  <c r="Z54" i="60" s="1"/>
  <c r="L54" i="60"/>
  <c r="N54" i="60" s="1"/>
  <c r="J54" i="60"/>
  <c r="B54" i="60"/>
  <c r="X53" i="60"/>
  <c r="T53" i="60"/>
  <c r="Z53" i="60" s="1"/>
  <c r="R53" i="60"/>
  <c r="P53" i="60"/>
  <c r="J53" i="60"/>
  <c r="H53" i="60"/>
  <c r="D53" i="60"/>
  <c r="B53" i="60"/>
  <c r="Z52" i="60"/>
  <c r="X52" i="60"/>
  <c r="R52" i="60"/>
  <c r="N52" i="60"/>
  <c r="L52" i="60"/>
  <c r="F52" i="60"/>
  <c r="B52" i="60"/>
  <c r="Z51" i="60"/>
  <c r="X51" i="60"/>
  <c r="R51" i="60"/>
  <c r="N51" i="60"/>
  <c r="L51" i="60"/>
  <c r="J51" i="60"/>
  <c r="B51" i="60"/>
  <c r="Z50" i="60"/>
  <c r="X50" i="60"/>
  <c r="N50" i="60"/>
  <c r="L50" i="60"/>
  <c r="J50" i="60"/>
  <c r="B50" i="60"/>
  <c r="T49" i="60"/>
  <c r="R49" i="60"/>
  <c r="P49" i="60"/>
  <c r="X49" i="60" s="1"/>
  <c r="Z49" i="60" s="1"/>
  <c r="H49" i="60"/>
  <c r="N49" i="60" s="1"/>
  <c r="D49" i="60"/>
  <c r="L49" i="60" s="1"/>
  <c r="B49" i="60"/>
  <c r="X48" i="60"/>
  <c r="Z48" i="60" s="1"/>
  <c r="R48" i="60"/>
  <c r="N48" i="60"/>
  <c r="L48" i="60"/>
  <c r="B48" i="60"/>
  <c r="T47" i="60"/>
  <c r="P47" i="60"/>
  <c r="X47" i="60" s="1"/>
  <c r="Z47" i="60" s="1"/>
  <c r="J47" i="60"/>
  <c r="H47" i="60"/>
  <c r="D47" i="60"/>
  <c r="L47" i="60" s="1"/>
  <c r="N47" i="60" s="1"/>
  <c r="B47" i="60"/>
  <c r="Z46" i="60"/>
  <c r="X46" i="60"/>
  <c r="N46" i="60"/>
  <c r="L46" i="60"/>
  <c r="J46" i="60"/>
  <c r="B46" i="60"/>
  <c r="X45" i="60"/>
  <c r="Z45" i="60" s="1"/>
  <c r="N45" i="60"/>
  <c r="L45" i="60"/>
  <c r="J45" i="60"/>
  <c r="B45" i="60"/>
  <c r="Z44" i="60"/>
  <c r="X44" i="60"/>
  <c r="T44" i="60"/>
  <c r="R44" i="60"/>
  <c r="P44" i="60"/>
  <c r="H44" i="60"/>
  <c r="D44" i="60"/>
  <c r="L44" i="60" s="1"/>
  <c r="B44" i="60"/>
  <c r="Z43" i="60"/>
  <c r="X43" i="60"/>
  <c r="R43" i="60"/>
  <c r="L43" i="60"/>
  <c r="N43" i="60" s="1"/>
  <c r="J43" i="60"/>
  <c r="B43" i="60"/>
  <c r="X42" i="60"/>
  <c r="T42" i="60"/>
  <c r="P42" i="60"/>
  <c r="H42" i="60"/>
  <c r="D42" i="60"/>
  <c r="L42" i="60" s="1"/>
  <c r="N42" i="60" s="1"/>
  <c r="B42" i="60"/>
  <c r="Z41" i="60"/>
  <c r="X41" i="60"/>
  <c r="N41" i="60"/>
  <c r="L41" i="60"/>
  <c r="B41" i="60"/>
  <c r="T40" i="60"/>
  <c r="R40" i="60"/>
  <c r="P40" i="60"/>
  <c r="J40" i="60"/>
  <c r="H40" i="60"/>
  <c r="N40" i="60" s="1"/>
  <c r="D40" i="60"/>
  <c r="L40" i="60" s="1"/>
  <c r="B40" i="60"/>
  <c r="Z39" i="60"/>
  <c r="X39" i="60"/>
  <c r="R39" i="60"/>
  <c r="N39" i="60"/>
  <c r="L39" i="60"/>
  <c r="F39" i="60"/>
  <c r="B39" i="60"/>
  <c r="Z38" i="60"/>
  <c r="X38" i="60"/>
  <c r="N38" i="60"/>
  <c r="L38" i="60"/>
  <c r="J38" i="60"/>
  <c r="B38" i="60"/>
  <c r="Z37" i="60"/>
  <c r="X37" i="60"/>
  <c r="N37" i="60"/>
  <c r="L37" i="60"/>
  <c r="J37" i="60"/>
  <c r="B37" i="60"/>
  <c r="Z36" i="60"/>
  <c r="X36" i="60"/>
  <c r="N36" i="60"/>
  <c r="L36" i="60"/>
  <c r="F36" i="60"/>
  <c r="B36" i="60"/>
  <c r="Z35" i="60"/>
  <c r="X35" i="60"/>
  <c r="R35" i="60"/>
  <c r="N35" i="60"/>
  <c r="L35" i="60"/>
  <c r="F35" i="60"/>
  <c r="B35" i="60"/>
  <c r="Z34" i="60"/>
  <c r="X34" i="60"/>
  <c r="R34" i="60"/>
  <c r="N34" i="60"/>
  <c r="L34" i="60"/>
  <c r="J34" i="60"/>
  <c r="B34" i="60"/>
  <c r="X33" i="60"/>
  <c r="Z33" i="60" s="1"/>
  <c r="N33" i="60"/>
  <c r="L33" i="60"/>
  <c r="J33" i="60"/>
  <c r="B33" i="60"/>
  <c r="Z32" i="60"/>
  <c r="X32" i="60"/>
  <c r="N32" i="60"/>
  <c r="L32" i="60"/>
  <c r="F32" i="60"/>
  <c r="B32" i="60"/>
  <c r="Z31" i="60"/>
  <c r="X31" i="60"/>
  <c r="R31" i="60"/>
  <c r="N31" i="60"/>
  <c r="L31" i="60"/>
  <c r="F31" i="60"/>
  <c r="B31" i="60"/>
  <c r="Z30" i="60"/>
  <c r="X30" i="60"/>
  <c r="R30" i="60"/>
  <c r="N30" i="60"/>
  <c r="L30" i="60"/>
  <c r="J30" i="60"/>
  <c r="B30" i="60"/>
  <c r="X29" i="60"/>
  <c r="T29" i="60"/>
  <c r="Z29" i="60" s="1"/>
  <c r="R29" i="60"/>
  <c r="P29" i="60"/>
  <c r="J29" i="60"/>
  <c r="H29" i="60"/>
  <c r="D29" i="60"/>
  <c r="B29" i="60"/>
  <c r="Z28" i="60"/>
  <c r="X28" i="60"/>
  <c r="R28" i="60"/>
  <c r="N28" i="60"/>
  <c r="L28" i="60"/>
  <c r="J28" i="60"/>
  <c r="F28" i="60"/>
  <c r="B28" i="60"/>
  <c r="Z27" i="60"/>
  <c r="X27" i="60"/>
  <c r="R27" i="60"/>
  <c r="N27" i="60"/>
  <c r="L27" i="60"/>
  <c r="J27" i="60"/>
  <c r="B27" i="60"/>
  <c r="X26" i="60"/>
  <c r="Z26" i="60" s="1"/>
  <c r="R26" i="60"/>
  <c r="L26" i="60"/>
  <c r="N26" i="60" s="1"/>
  <c r="J26" i="60"/>
  <c r="B26" i="60"/>
  <c r="Z25" i="60"/>
  <c r="X25" i="60"/>
  <c r="N25" i="60"/>
  <c r="L25" i="60"/>
  <c r="J25" i="60"/>
  <c r="B25" i="60"/>
  <c r="Z24" i="60"/>
  <c r="X24" i="60"/>
  <c r="R24" i="60"/>
  <c r="N24" i="60"/>
  <c r="L24" i="60"/>
  <c r="J24" i="60"/>
  <c r="F24" i="60"/>
  <c r="B24" i="60"/>
  <c r="Z23" i="60"/>
  <c r="X23" i="60"/>
  <c r="R23" i="60"/>
  <c r="N23" i="60"/>
  <c r="L23" i="60"/>
  <c r="J23" i="60"/>
  <c r="B23" i="60"/>
  <c r="X22" i="60"/>
  <c r="Z22" i="60" s="1"/>
  <c r="V22" i="60"/>
  <c r="R22" i="60"/>
  <c r="L22" i="60"/>
  <c r="N22" i="60" s="1"/>
  <c r="J22" i="60"/>
  <c r="B22" i="60"/>
  <c r="Z21" i="60"/>
  <c r="X21" i="60"/>
  <c r="N21" i="60"/>
  <c r="L21" i="60"/>
  <c r="J21" i="60"/>
  <c r="B21" i="60"/>
  <c r="Z20" i="60"/>
  <c r="X20" i="60"/>
  <c r="R20" i="60"/>
  <c r="L20" i="60"/>
  <c r="N20" i="60" s="1"/>
  <c r="J20" i="60"/>
  <c r="F20" i="60"/>
  <c r="B20" i="60"/>
  <c r="T19" i="60"/>
  <c r="P19" i="60"/>
  <c r="X19" i="60" s="1"/>
  <c r="J19" i="60"/>
  <c r="H19" i="60"/>
  <c r="F19" i="60"/>
  <c r="D19" i="60"/>
  <c r="L19" i="60" s="1"/>
  <c r="N19" i="60" s="1"/>
  <c r="B19" i="60"/>
  <c r="V18" i="60"/>
  <c r="T18" i="60"/>
  <c r="Z18" i="60" s="1"/>
  <c r="P18" i="60"/>
  <c r="X18" i="60" s="1"/>
  <c r="J18" i="60"/>
  <c r="H18" i="60"/>
  <c r="F18" i="60"/>
  <c r="D18" i="60"/>
  <c r="P16" i="60"/>
  <c r="J16" i="60"/>
  <c r="H16" i="60"/>
  <c r="F16" i="60"/>
  <c r="D16" i="60"/>
  <c r="V14" i="60"/>
  <c r="T14" i="60"/>
  <c r="Z14" i="60" s="1"/>
  <c r="P14" i="60"/>
  <c r="X14" i="60" s="1"/>
  <c r="J14" i="60"/>
  <c r="H14" i="60"/>
  <c r="N14" i="60" s="1"/>
  <c r="F14" i="60"/>
  <c r="D14" i="60"/>
  <c r="T12" i="60"/>
  <c r="V65" i="60" s="1"/>
  <c r="P12" i="60"/>
  <c r="R65" i="60" s="1"/>
  <c r="N12" i="60"/>
  <c r="L12" i="60"/>
  <c r="H12" i="60"/>
  <c r="J58" i="60" s="1"/>
  <c r="D12" i="60"/>
  <c r="F25" i="60" s="1"/>
  <c r="D6" i="60"/>
  <c r="D4" i="60"/>
  <c r="Z73" i="59"/>
  <c r="X73" i="59"/>
  <c r="N73" i="59"/>
  <c r="L73" i="59"/>
  <c r="J71" i="59"/>
  <c r="T69" i="59"/>
  <c r="Z69" i="59" s="1"/>
  <c r="R69" i="59"/>
  <c r="P69" i="59"/>
  <c r="H69" i="59"/>
  <c r="N69" i="59" s="1"/>
  <c r="D69" i="59"/>
  <c r="L69" i="59" s="1"/>
  <c r="X67" i="59"/>
  <c r="Z67" i="59" s="1"/>
  <c r="L67" i="59"/>
  <c r="N67" i="59" s="1"/>
  <c r="B67" i="59"/>
  <c r="T66" i="59"/>
  <c r="P66" i="59"/>
  <c r="X66" i="59" s="1"/>
  <c r="Z66" i="59" s="1"/>
  <c r="H66" i="59"/>
  <c r="D66" i="59"/>
  <c r="L66" i="59" s="1"/>
  <c r="N66" i="59" s="1"/>
  <c r="B66" i="59"/>
  <c r="Z65" i="59"/>
  <c r="X65" i="59"/>
  <c r="R65" i="59"/>
  <c r="N65" i="59"/>
  <c r="L65" i="59"/>
  <c r="J65" i="59"/>
  <c r="B65" i="59"/>
  <c r="X64" i="59"/>
  <c r="T64" i="59"/>
  <c r="Z64" i="59" s="1"/>
  <c r="P64" i="59"/>
  <c r="J64" i="59"/>
  <c r="H64" i="59"/>
  <c r="L64" i="59" s="1"/>
  <c r="D64" i="59"/>
  <c r="B64" i="59"/>
  <c r="Z63" i="59"/>
  <c r="X63" i="59"/>
  <c r="L63" i="59"/>
  <c r="N63" i="59" s="1"/>
  <c r="B63" i="59"/>
  <c r="Z62" i="59"/>
  <c r="X62" i="59"/>
  <c r="R62" i="59"/>
  <c r="N62" i="59"/>
  <c r="L62" i="59"/>
  <c r="J62" i="59"/>
  <c r="B62" i="59"/>
  <c r="T61" i="59"/>
  <c r="P61" i="59"/>
  <c r="H61" i="59"/>
  <c r="N61" i="59" s="1"/>
  <c r="D61" i="59"/>
  <c r="L61" i="59" s="1"/>
  <c r="B61" i="59"/>
  <c r="X60" i="59"/>
  <c r="Z60" i="59" s="1"/>
  <c r="V60" i="59"/>
  <c r="L60" i="59"/>
  <c r="N60" i="59" s="1"/>
  <c r="B60" i="59"/>
  <c r="T59" i="59"/>
  <c r="P59" i="59"/>
  <c r="H59" i="59"/>
  <c r="N59" i="59" s="1"/>
  <c r="D59" i="59"/>
  <c r="L59" i="59" s="1"/>
  <c r="B59" i="59"/>
  <c r="Z58" i="59"/>
  <c r="X58" i="59"/>
  <c r="V58" i="59"/>
  <c r="N58" i="59"/>
  <c r="L58" i="59"/>
  <c r="B58" i="59"/>
  <c r="X57" i="59"/>
  <c r="Z57" i="59" s="1"/>
  <c r="R57" i="59"/>
  <c r="N57" i="59"/>
  <c r="L57" i="59"/>
  <c r="J57" i="59"/>
  <c r="F57" i="59"/>
  <c r="B57" i="59"/>
  <c r="X56" i="59"/>
  <c r="T56" i="59"/>
  <c r="Z56" i="59" s="1"/>
  <c r="P56" i="59"/>
  <c r="J56" i="59"/>
  <c r="H56" i="59"/>
  <c r="L56" i="59" s="1"/>
  <c r="D56" i="59"/>
  <c r="B56" i="59"/>
  <c r="Z55" i="59"/>
  <c r="X55" i="59"/>
  <c r="L55" i="59"/>
  <c r="N55" i="59" s="1"/>
  <c r="B55" i="59"/>
  <c r="Z54" i="59"/>
  <c r="X54" i="59"/>
  <c r="R54" i="59"/>
  <c r="N54" i="59"/>
  <c r="L54" i="59"/>
  <c r="J54" i="59"/>
  <c r="B54" i="59"/>
  <c r="X53" i="59"/>
  <c r="Z53" i="59" s="1"/>
  <c r="R53" i="59"/>
  <c r="L53" i="59"/>
  <c r="N53" i="59" s="1"/>
  <c r="B53" i="59"/>
  <c r="Z52" i="59"/>
  <c r="V52" i="59"/>
  <c r="T52" i="59"/>
  <c r="R52" i="59"/>
  <c r="P52" i="59"/>
  <c r="X52" i="59" s="1"/>
  <c r="H52" i="59"/>
  <c r="D52" i="59"/>
  <c r="B52" i="59"/>
  <c r="X51" i="59"/>
  <c r="Z51" i="59" s="1"/>
  <c r="R51" i="59"/>
  <c r="N51" i="59"/>
  <c r="L51" i="59"/>
  <c r="B51" i="59"/>
  <c r="Z50" i="59"/>
  <c r="X50" i="59"/>
  <c r="T50" i="59"/>
  <c r="R50" i="59"/>
  <c r="P50" i="59"/>
  <c r="L50" i="59"/>
  <c r="N50" i="59" s="1"/>
  <c r="J50" i="59"/>
  <c r="H50" i="59"/>
  <c r="D50" i="59"/>
  <c r="B50" i="59"/>
  <c r="X49" i="59"/>
  <c r="Z49" i="59" s="1"/>
  <c r="R49" i="59"/>
  <c r="N49" i="59"/>
  <c r="L49" i="59"/>
  <c r="J49" i="59"/>
  <c r="B49" i="59"/>
  <c r="X48" i="59"/>
  <c r="V48" i="59"/>
  <c r="T48" i="59"/>
  <c r="Z48" i="59" s="1"/>
  <c r="P48" i="59"/>
  <c r="N48" i="59"/>
  <c r="J48" i="59"/>
  <c r="H48" i="59"/>
  <c r="L48" i="59" s="1"/>
  <c r="D48" i="59"/>
  <c r="B48" i="59"/>
  <c r="Z47" i="59"/>
  <c r="X47" i="59"/>
  <c r="V47" i="59"/>
  <c r="R47" i="59"/>
  <c r="N47" i="59"/>
  <c r="L47" i="59"/>
  <c r="F47" i="59"/>
  <c r="B47" i="59"/>
  <c r="T46" i="59"/>
  <c r="Z46" i="59" s="1"/>
  <c r="R46" i="59"/>
  <c r="P46" i="59"/>
  <c r="N46" i="59"/>
  <c r="J46" i="59"/>
  <c r="H46" i="59"/>
  <c r="D46" i="59"/>
  <c r="L46" i="59" s="1"/>
  <c r="B46" i="59"/>
  <c r="X45" i="59"/>
  <c r="Z45" i="59" s="1"/>
  <c r="V45" i="59"/>
  <c r="N45" i="59"/>
  <c r="L45" i="59"/>
  <c r="B45" i="59"/>
  <c r="X44" i="59"/>
  <c r="Z44" i="59" s="1"/>
  <c r="V44" i="59"/>
  <c r="L44" i="59"/>
  <c r="N44" i="59" s="1"/>
  <c r="J44" i="59"/>
  <c r="F44" i="59"/>
  <c r="B44" i="59"/>
  <c r="T43" i="59"/>
  <c r="P43" i="59"/>
  <c r="X43" i="59" s="1"/>
  <c r="J43" i="59"/>
  <c r="H43" i="59"/>
  <c r="D43" i="59"/>
  <c r="L43" i="59" s="1"/>
  <c r="B43" i="59"/>
  <c r="Z42" i="59"/>
  <c r="X42" i="59"/>
  <c r="R42" i="59"/>
  <c r="N42" i="59"/>
  <c r="L42" i="59"/>
  <c r="J42" i="59"/>
  <c r="F42" i="59"/>
  <c r="B42" i="59"/>
  <c r="T41" i="59"/>
  <c r="R41" i="59"/>
  <c r="P41" i="59"/>
  <c r="N41" i="59"/>
  <c r="L41" i="59"/>
  <c r="H41" i="59"/>
  <c r="D41" i="59"/>
  <c r="B41" i="59"/>
  <c r="Z40" i="59"/>
  <c r="X40" i="59"/>
  <c r="V40" i="59"/>
  <c r="R40" i="59"/>
  <c r="N40" i="59"/>
  <c r="L40" i="59"/>
  <c r="B40" i="59"/>
  <c r="Z39" i="59"/>
  <c r="X39" i="59"/>
  <c r="V39" i="59"/>
  <c r="R39" i="59"/>
  <c r="N39" i="59"/>
  <c r="L39" i="59"/>
  <c r="J39" i="59"/>
  <c r="F39" i="59"/>
  <c r="B39" i="59"/>
  <c r="Z38" i="59"/>
  <c r="X38" i="59"/>
  <c r="V38" i="59"/>
  <c r="N38" i="59"/>
  <c r="L38" i="59"/>
  <c r="J38" i="59"/>
  <c r="B38" i="59"/>
  <c r="Z37" i="59"/>
  <c r="X37" i="59"/>
  <c r="V37" i="59"/>
  <c r="R37" i="59"/>
  <c r="N37" i="59"/>
  <c r="L37" i="59"/>
  <c r="J37" i="59"/>
  <c r="B37" i="59"/>
  <c r="Z36" i="59"/>
  <c r="X36" i="59"/>
  <c r="V36" i="59"/>
  <c r="N36" i="59"/>
  <c r="L36" i="59"/>
  <c r="J36" i="59"/>
  <c r="B36" i="59"/>
  <c r="Z35" i="59"/>
  <c r="X35" i="59"/>
  <c r="N35" i="59"/>
  <c r="L35" i="59"/>
  <c r="J35" i="59"/>
  <c r="B35" i="59"/>
  <c r="Z34" i="59"/>
  <c r="X34" i="59"/>
  <c r="N34" i="59"/>
  <c r="L34" i="59"/>
  <c r="B34" i="59"/>
  <c r="Z33" i="59"/>
  <c r="X33" i="59"/>
  <c r="V33" i="59"/>
  <c r="R33" i="59"/>
  <c r="N33" i="59"/>
  <c r="L33" i="59"/>
  <c r="B33" i="59"/>
  <c r="Z32" i="59"/>
  <c r="X32" i="59"/>
  <c r="V32" i="59"/>
  <c r="R32" i="59"/>
  <c r="N32" i="59"/>
  <c r="L32" i="59"/>
  <c r="J32" i="59"/>
  <c r="B32" i="59"/>
  <c r="Z31" i="59"/>
  <c r="X31" i="59"/>
  <c r="R31" i="59"/>
  <c r="N31" i="59"/>
  <c r="L31" i="59"/>
  <c r="J31" i="59"/>
  <c r="F31" i="59"/>
  <c r="B31" i="59"/>
  <c r="V30" i="59"/>
  <c r="T30" i="59"/>
  <c r="R30" i="59"/>
  <c r="P30" i="59"/>
  <c r="J30" i="59"/>
  <c r="H30" i="59"/>
  <c r="D30" i="59"/>
  <c r="L30" i="59" s="1"/>
  <c r="N30" i="59" s="1"/>
  <c r="B30" i="59"/>
  <c r="X29" i="59"/>
  <c r="Z29" i="59" s="1"/>
  <c r="V29" i="59"/>
  <c r="R29" i="59"/>
  <c r="N29" i="59"/>
  <c r="L29" i="59"/>
  <c r="B29" i="59"/>
  <c r="X28" i="59"/>
  <c r="Z28" i="59" s="1"/>
  <c r="V28" i="59"/>
  <c r="N28" i="59"/>
  <c r="L28" i="59"/>
  <c r="J28" i="59"/>
  <c r="F28" i="59"/>
  <c r="B28" i="59"/>
  <c r="Z27" i="59"/>
  <c r="X27" i="59"/>
  <c r="R27" i="59"/>
  <c r="L27" i="59"/>
  <c r="N27" i="59" s="1"/>
  <c r="B27" i="59"/>
  <c r="Z26" i="59"/>
  <c r="X26" i="59"/>
  <c r="V26" i="59"/>
  <c r="R26" i="59"/>
  <c r="N26" i="59"/>
  <c r="L26" i="59"/>
  <c r="F26" i="59"/>
  <c r="B26" i="59"/>
  <c r="X25" i="59"/>
  <c r="Z25" i="59" s="1"/>
  <c r="V25" i="59"/>
  <c r="R25" i="59"/>
  <c r="N25" i="59"/>
  <c r="L25" i="59"/>
  <c r="J25" i="59"/>
  <c r="F25" i="59"/>
  <c r="B25" i="59"/>
  <c r="X24" i="59"/>
  <c r="Z24" i="59" s="1"/>
  <c r="V24" i="59"/>
  <c r="L24" i="59"/>
  <c r="N24" i="59" s="1"/>
  <c r="J24" i="59"/>
  <c r="F24" i="59"/>
  <c r="B24" i="59"/>
  <c r="Z23" i="59"/>
  <c r="X23" i="59"/>
  <c r="V23" i="59"/>
  <c r="L23" i="59"/>
  <c r="N23" i="59" s="1"/>
  <c r="B23" i="59"/>
  <c r="Z22" i="59"/>
  <c r="X22" i="59"/>
  <c r="V22" i="59"/>
  <c r="R22" i="59"/>
  <c r="N22" i="59"/>
  <c r="L22" i="59"/>
  <c r="B22" i="59"/>
  <c r="X21" i="59"/>
  <c r="Z21" i="59" s="1"/>
  <c r="V21" i="59"/>
  <c r="R21" i="59"/>
  <c r="N21" i="59"/>
  <c r="L21" i="59"/>
  <c r="J21" i="59"/>
  <c r="F21" i="59"/>
  <c r="B21" i="59"/>
  <c r="X20" i="59"/>
  <c r="Z20" i="59" s="1"/>
  <c r="V20" i="59"/>
  <c r="L20" i="59"/>
  <c r="N20" i="59" s="1"/>
  <c r="J20" i="59"/>
  <c r="F20" i="59"/>
  <c r="B20" i="59"/>
  <c r="Z19" i="59"/>
  <c r="X19" i="59"/>
  <c r="V19" i="59"/>
  <c r="T19" i="59"/>
  <c r="P19" i="59"/>
  <c r="J19" i="59"/>
  <c r="H19" i="59"/>
  <c r="N19" i="59" s="1"/>
  <c r="F19" i="59"/>
  <c r="D19" i="59"/>
  <c r="L19" i="59" s="1"/>
  <c r="B19" i="59"/>
  <c r="Z18" i="59"/>
  <c r="X18" i="59"/>
  <c r="T18" i="59"/>
  <c r="R18" i="59"/>
  <c r="P18" i="59"/>
  <c r="J18" i="59"/>
  <c r="H18" i="59"/>
  <c r="D18" i="59"/>
  <c r="L18" i="59" s="1"/>
  <c r="Z16" i="59"/>
  <c r="R16" i="59"/>
  <c r="J16" i="59"/>
  <c r="D16" i="59"/>
  <c r="Z14" i="59"/>
  <c r="X14" i="59"/>
  <c r="T14" i="59"/>
  <c r="T16" i="59" s="1"/>
  <c r="R14" i="59"/>
  <c r="P14" i="59"/>
  <c r="J14" i="59"/>
  <c r="H14" i="59"/>
  <c r="N14" i="59" s="1"/>
  <c r="D14" i="59"/>
  <c r="L14" i="59" s="1"/>
  <c r="Z12" i="59"/>
  <c r="X12" i="59"/>
  <c r="T12" i="59"/>
  <c r="V61" i="59" s="1"/>
  <c r="P12" i="59"/>
  <c r="R78" i="59" s="1"/>
  <c r="N12" i="59"/>
  <c r="H12" i="59"/>
  <c r="J59" i="59" s="1"/>
  <c r="D12" i="59"/>
  <c r="F46" i="59" s="1"/>
  <c r="D6" i="59"/>
  <c r="D4" i="59"/>
  <c r="V83" i="58"/>
  <c r="F83" i="58"/>
  <c r="V80" i="58"/>
  <c r="F80" i="58"/>
  <c r="Z78" i="58"/>
  <c r="X78" i="58"/>
  <c r="V78" i="58"/>
  <c r="N78" i="58"/>
  <c r="L78" i="58"/>
  <c r="V76" i="58"/>
  <c r="V74" i="58"/>
  <c r="T74" i="58"/>
  <c r="Z74" i="58" s="1"/>
  <c r="P74" i="58"/>
  <c r="X74" i="58" s="1"/>
  <c r="N74" i="58"/>
  <c r="L74" i="58"/>
  <c r="H74" i="58"/>
  <c r="D74" i="58"/>
  <c r="Z72" i="58"/>
  <c r="X72" i="58"/>
  <c r="V72" i="58"/>
  <c r="N72" i="58"/>
  <c r="L72" i="58"/>
  <c r="J72" i="58"/>
  <c r="B72" i="58"/>
  <c r="Z71" i="58"/>
  <c r="T71" i="58"/>
  <c r="P71" i="58"/>
  <c r="X71" i="58" s="1"/>
  <c r="J71" i="58"/>
  <c r="H71" i="58"/>
  <c r="D71" i="58"/>
  <c r="B71" i="58"/>
  <c r="Z70" i="58"/>
  <c r="X70" i="58"/>
  <c r="N70" i="58"/>
  <c r="L70" i="58"/>
  <c r="F70" i="58"/>
  <c r="B70" i="58"/>
  <c r="T69" i="58"/>
  <c r="P69" i="58"/>
  <c r="X69" i="58" s="1"/>
  <c r="J69" i="58"/>
  <c r="H69" i="58"/>
  <c r="F69" i="58"/>
  <c r="D69" i="58"/>
  <c r="L69" i="58" s="1"/>
  <c r="N69" i="58" s="1"/>
  <c r="B69" i="58"/>
  <c r="X68" i="58"/>
  <c r="Z68" i="58" s="1"/>
  <c r="V68" i="58"/>
  <c r="L68" i="58"/>
  <c r="N68" i="58" s="1"/>
  <c r="J68" i="58"/>
  <c r="B68" i="58"/>
  <c r="X67" i="58"/>
  <c r="Z67" i="58" s="1"/>
  <c r="T67" i="58"/>
  <c r="P67" i="58"/>
  <c r="H67" i="58"/>
  <c r="N67" i="58" s="1"/>
  <c r="D67" i="58"/>
  <c r="L67" i="58" s="1"/>
  <c r="B67" i="58"/>
  <c r="Z66" i="58"/>
  <c r="X66" i="58"/>
  <c r="N66" i="58"/>
  <c r="L66" i="58"/>
  <c r="B66" i="58"/>
  <c r="Z65" i="58"/>
  <c r="X65" i="58"/>
  <c r="V65" i="58"/>
  <c r="R65" i="58"/>
  <c r="N65" i="58"/>
  <c r="L65" i="58"/>
  <c r="B65" i="58"/>
  <c r="X64" i="58"/>
  <c r="Z64" i="58" s="1"/>
  <c r="V64" i="58"/>
  <c r="L64" i="58"/>
  <c r="N64" i="58" s="1"/>
  <c r="J64" i="58"/>
  <c r="B64" i="58"/>
  <c r="T63" i="58"/>
  <c r="P63" i="58"/>
  <c r="X63" i="58" s="1"/>
  <c r="Z63" i="58" s="1"/>
  <c r="J63" i="58"/>
  <c r="H63" i="58"/>
  <c r="D63" i="58"/>
  <c r="B63" i="58"/>
  <c r="Z62" i="58"/>
  <c r="X62" i="58"/>
  <c r="N62" i="58"/>
  <c r="L62" i="58"/>
  <c r="F62" i="58"/>
  <c r="B62" i="58"/>
  <c r="T61" i="58"/>
  <c r="P61" i="58"/>
  <c r="X61" i="58" s="1"/>
  <c r="J61" i="58"/>
  <c r="H61" i="58"/>
  <c r="F61" i="58"/>
  <c r="D61" i="58"/>
  <c r="L61" i="58" s="1"/>
  <c r="N61" i="58" s="1"/>
  <c r="B61" i="58"/>
  <c r="Z60" i="58"/>
  <c r="X60" i="58"/>
  <c r="V60" i="58"/>
  <c r="N60" i="58"/>
  <c r="L60" i="58"/>
  <c r="J60" i="58"/>
  <c r="B60" i="58"/>
  <c r="Z59" i="58"/>
  <c r="X59" i="58"/>
  <c r="V59" i="58"/>
  <c r="L59" i="58"/>
  <c r="N59" i="58" s="1"/>
  <c r="B59" i="58"/>
  <c r="T58" i="58"/>
  <c r="R58" i="58"/>
  <c r="P58" i="58"/>
  <c r="J58" i="58"/>
  <c r="H58" i="58"/>
  <c r="N58" i="58" s="1"/>
  <c r="D58" i="58"/>
  <c r="L58" i="58" s="1"/>
  <c r="B58" i="58"/>
  <c r="Z57" i="58"/>
  <c r="X57" i="58"/>
  <c r="V57" i="58"/>
  <c r="R57" i="58"/>
  <c r="N57" i="58"/>
  <c r="L57" i="58"/>
  <c r="B57" i="58"/>
  <c r="X56" i="58"/>
  <c r="Z56" i="58" s="1"/>
  <c r="V56" i="58"/>
  <c r="L56" i="58"/>
  <c r="N56" i="58" s="1"/>
  <c r="J56" i="58"/>
  <c r="B56" i="58"/>
  <c r="Z55" i="58"/>
  <c r="X55" i="58"/>
  <c r="N55" i="58"/>
  <c r="L55" i="58"/>
  <c r="J55" i="58"/>
  <c r="B55" i="58"/>
  <c r="Z54" i="58"/>
  <c r="X54" i="58"/>
  <c r="T54" i="58"/>
  <c r="P54" i="58"/>
  <c r="J54" i="58"/>
  <c r="H54" i="58"/>
  <c r="D54" i="58"/>
  <c r="L54" i="58" s="1"/>
  <c r="B54" i="58"/>
  <c r="Z53" i="58"/>
  <c r="X53" i="58"/>
  <c r="N53" i="58"/>
  <c r="L53" i="58"/>
  <c r="F53" i="58"/>
  <c r="B53" i="58"/>
  <c r="X52" i="58"/>
  <c r="Z52" i="58" s="1"/>
  <c r="V52" i="58"/>
  <c r="N52" i="58"/>
  <c r="L52" i="58"/>
  <c r="J52" i="58"/>
  <c r="B52" i="58"/>
  <c r="V51" i="58"/>
  <c r="T51" i="58"/>
  <c r="R51" i="58"/>
  <c r="P51" i="58"/>
  <c r="X51" i="58" s="1"/>
  <c r="Z51" i="58" s="1"/>
  <c r="H51" i="58"/>
  <c r="D51" i="58"/>
  <c r="L51" i="58" s="1"/>
  <c r="B51" i="58"/>
  <c r="Z50" i="58"/>
  <c r="X50" i="58"/>
  <c r="R50" i="58"/>
  <c r="N50" i="58"/>
  <c r="L50" i="58"/>
  <c r="B50" i="58"/>
  <c r="V49" i="58"/>
  <c r="T49" i="58"/>
  <c r="P49" i="58"/>
  <c r="X49" i="58" s="1"/>
  <c r="L49" i="58"/>
  <c r="N49" i="58" s="1"/>
  <c r="J49" i="58"/>
  <c r="H49" i="58"/>
  <c r="D49" i="58"/>
  <c r="B49" i="58"/>
  <c r="X48" i="58"/>
  <c r="Z48" i="58" s="1"/>
  <c r="V48" i="58"/>
  <c r="L48" i="58"/>
  <c r="N48" i="58" s="1"/>
  <c r="J48" i="58"/>
  <c r="B48" i="58"/>
  <c r="T47" i="58"/>
  <c r="P47" i="58"/>
  <c r="X47" i="58" s="1"/>
  <c r="Z47" i="58" s="1"/>
  <c r="J47" i="58"/>
  <c r="H47" i="58"/>
  <c r="D47" i="58"/>
  <c r="B47" i="58"/>
  <c r="Z46" i="58"/>
  <c r="X46" i="58"/>
  <c r="N46" i="58"/>
  <c r="L46" i="58"/>
  <c r="F46" i="58"/>
  <c r="B46" i="58"/>
  <c r="T45" i="58"/>
  <c r="Z45" i="58" s="1"/>
  <c r="P45" i="58"/>
  <c r="X45" i="58" s="1"/>
  <c r="J45" i="58"/>
  <c r="H45" i="58"/>
  <c r="F45" i="58"/>
  <c r="D45" i="58"/>
  <c r="L45" i="58" s="1"/>
  <c r="N45" i="58" s="1"/>
  <c r="B45" i="58"/>
  <c r="X44" i="58"/>
  <c r="Z44" i="58" s="1"/>
  <c r="V44" i="58"/>
  <c r="N44" i="58"/>
  <c r="L44" i="58"/>
  <c r="J44" i="58"/>
  <c r="B44" i="58"/>
  <c r="X43" i="58"/>
  <c r="Z43" i="58" s="1"/>
  <c r="V43" i="58"/>
  <c r="T43" i="58"/>
  <c r="P43" i="58"/>
  <c r="J43" i="58"/>
  <c r="H43" i="58"/>
  <c r="N43" i="58" s="1"/>
  <c r="D43" i="58"/>
  <c r="L43" i="58" s="1"/>
  <c r="B43" i="58"/>
  <c r="Z42" i="58"/>
  <c r="X42" i="58"/>
  <c r="N42" i="58"/>
  <c r="L42" i="58"/>
  <c r="B42" i="58"/>
  <c r="V41" i="58"/>
  <c r="T41" i="58"/>
  <c r="P41" i="58"/>
  <c r="H41" i="58"/>
  <c r="D41" i="58"/>
  <c r="L41" i="58" s="1"/>
  <c r="N41" i="58" s="1"/>
  <c r="B41" i="58"/>
  <c r="Z40" i="58"/>
  <c r="X40" i="58"/>
  <c r="V40" i="58"/>
  <c r="N40" i="58"/>
  <c r="L40" i="58"/>
  <c r="J40" i="58"/>
  <c r="B40" i="58"/>
  <c r="Z39" i="58"/>
  <c r="X39" i="58"/>
  <c r="V39" i="58"/>
  <c r="N39" i="58"/>
  <c r="L39" i="58"/>
  <c r="J39" i="58"/>
  <c r="B39" i="58"/>
  <c r="Z38" i="58"/>
  <c r="X38" i="58"/>
  <c r="N38" i="58"/>
  <c r="L38" i="58"/>
  <c r="F38" i="58"/>
  <c r="B38" i="58"/>
  <c r="Z37" i="58"/>
  <c r="X37" i="58"/>
  <c r="N37" i="58"/>
  <c r="L37" i="58"/>
  <c r="J37" i="58"/>
  <c r="F37" i="58"/>
  <c r="B37" i="58"/>
  <c r="Z36" i="58"/>
  <c r="X36" i="58"/>
  <c r="V36" i="58"/>
  <c r="N36" i="58"/>
  <c r="L36" i="58"/>
  <c r="J36" i="58"/>
  <c r="B36" i="58"/>
  <c r="X35" i="58"/>
  <c r="Z35" i="58" s="1"/>
  <c r="V35" i="58"/>
  <c r="N35" i="58"/>
  <c r="L35" i="58"/>
  <c r="J35" i="58"/>
  <c r="B35" i="58"/>
  <c r="Z34" i="58"/>
  <c r="X34" i="58"/>
  <c r="N34" i="58"/>
  <c r="L34" i="58"/>
  <c r="F34" i="58"/>
  <c r="B34" i="58"/>
  <c r="Z33" i="58"/>
  <c r="X33" i="58"/>
  <c r="N33" i="58"/>
  <c r="L33" i="58"/>
  <c r="J33" i="58"/>
  <c r="F33" i="58"/>
  <c r="B33" i="58"/>
  <c r="Z32" i="58"/>
  <c r="X32" i="58"/>
  <c r="V32" i="58"/>
  <c r="N32" i="58"/>
  <c r="L32" i="58"/>
  <c r="J32" i="58"/>
  <c r="B32" i="58"/>
  <c r="X31" i="58"/>
  <c r="Z31" i="58" s="1"/>
  <c r="V31" i="58"/>
  <c r="L31" i="58"/>
  <c r="N31" i="58" s="1"/>
  <c r="J31" i="58"/>
  <c r="B31" i="58"/>
  <c r="T30" i="58"/>
  <c r="R30" i="58"/>
  <c r="P30" i="58"/>
  <c r="X30" i="58" s="1"/>
  <c r="Z30" i="58" s="1"/>
  <c r="L30" i="58"/>
  <c r="J30" i="58"/>
  <c r="H30" i="58"/>
  <c r="D30" i="58"/>
  <c r="B30" i="58"/>
  <c r="X29" i="58"/>
  <c r="Z29" i="58" s="1"/>
  <c r="V29" i="58"/>
  <c r="R29" i="58"/>
  <c r="N29" i="58"/>
  <c r="L29" i="58"/>
  <c r="J29" i="58"/>
  <c r="F29" i="58"/>
  <c r="B29" i="58"/>
  <c r="X28" i="58"/>
  <c r="Z28" i="58" s="1"/>
  <c r="V28" i="58"/>
  <c r="L28" i="58"/>
  <c r="N28" i="58" s="1"/>
  <c r="J28" i="58"/>
  <c r="F28" i="58"/>
  <c r="B28" i="58"/>
  <c r="X27" i="58"/>
  <c r="Z27" i="58" s="1"/>
  <c r="V27" i="58"/>
  <c r="L27" i="58"/>
  <c r="N27" i="58" s="1"/>
  <c r="B27" i="58"/>
  <c r="Z26" i="58"/>
  <c r="X26" i="58"/>
  <c r="V26" i="58"/>
  <c r="R26" i="58"/>
  <c r="N26" i="58"/>
  <c r="L26" i="58"/>
  <c r="B26" i="58"/>
  <c r="Z25" i="58"/>
  <c r="X25" i="58"/>
  <c r="V25" i="58"/>
  <c r="R25" i="58"/>
  <c r="N25" i="58"/>
  <c r="L25" i="58"/>
  <c r="J25" i="58"/>
  <c r="F25" i="58"/>
  <c r="B25" i="58"/>
  <c r="X24" i="58"/>
  <c r="Z24" i="58" s="1"/>
  <c r="V24" i="58"/>
  <c r="L24" i="58"/>
  <c r="N24" i="58" s="1"/>
  <c r="J24" i="58"/>
  <c r="F24" i="58"/>
  <c r="B24" i="58"/>
  <c r="Z23" i="58"/>
  <c r="X23" i="58"/>
  <c r="V23" i="58"/>
  <c r="L23" i="58"/>
  <c r="N23" i="58" s="1"/>
  <c r="B23" i="58"/>
  <c r="Z22" i="58"/>
  <c r="X22" i="58"/>
  <c r="V22" i="58"/>
  <c r="R22" i="58"/>
  <c r="N22" i="58"/>
  <c r="L22" i="58"/>
  <c r="B22" i="58"/>
  <c r="X21" i="58"/>
  <c r="Z21" i="58" s="1"/>
  <c r="V21" i="58"/>
  <c r="R21" i="58"/>
  <c r="N21" i="58"/>
  <c r="L21" i="58"/>
  <c r="J21" i="58"/>
  <c r="F21" i="58"/>
  <c r="B21" i="58"/>
  <c r="X20" i="58"/>
  <c r="Z20" i="58" s="1"/>
  <c r="V20" i="58"/>
  <c r="L20" i="58"/>
  <c r="N20" i="58" s="1"/>
  <c r="J20" i="58"/>
  <c r="F20" i="58"/>
  <c r="B20" i="58"/>
  <c r="X19" i="58"/>
  <c r="Z19" i="58" s="1"/>
  <c r="V19" i="58"/>
  <c r="T19" i="58"/>
  <c r="P19" i="58"/>
  <c r="J19" i="58"/>
  <c r="H19" i="58"/>
  <c r="N19" i="58" s="1"/>
  <c r="F19" i="58"/>
  <c r="D19" i="58"/>
  <c r="L19" i="58" s="1"/>
  <c r="B19" i="58"/>
  <c r="Z18" i="58"/>
  <c r="X18" i="58"/>
  <c r="T18" i="58"/>
  <c r="R18" i="58"/>
  <c r="P18" i="58"/>
  <c r="J18" i="58"/>
  <c r="H18" i="58"/>
  <c r="D18" i="58"/>
  <c r="L18" i="58" s="1"/>
  <c r="R16" i="58"/>
  <c r="J16" i="58"/>
  <c r="D16" i="58"/>
  <c r="Z14" i="58"/>
  <c r="X14" i="58"/>
  <c r="T14" i="58"/>
  <c r="T16" i="58" s="1"/>
  <c r="R14" i="58"/>
  <c r="P14" i="58"/>
  <c r="J14" i="58"/>
  <c r="H14" i="58"/>
  <c r="N14" i="58" s="1"/>
  <c r="D14" i="58"/>
  <c r="L14" i="58" s="1"/>
  <c r="Z12" i="58"/>
  <c r="X12" i="58"/>
  <c r="T12" i="58"/>
  <c r="V66" i="58" s="1"/>
  <c r="P12" i="58"/>
  <c r="R83" i="58" s="1"/>
  <c r="N12" i="58"/>
  <c r="H12" i="58"/>
  <c r="J76" i="58" s="1"/>
  <c r="D12" i="58"/>
  <c r="F39" i="58" s="1"/>
  <c r="D6" i="58"/>
  <c r="D4" i="58"/>
  <c r="V81" i="57"/>
  <c r="V78" i="57"/>
  <c r="Z76" i="57"/>
  <c r="X76" i="57"/>
  <c r="V76" i="57"/>
  <c r="N76" i="57"/>
  <c r="L76" i="57"/>
  <c r="V74" i="57"/>
  <c r="Z72" i="57"/>
  <c r="X72" i="57"/>
  <c r="V72" i="57"/>
  <c r="P72" i="57"/>
  <c r="N72" i="57"/>
  <c r="L72" i="57"/>
  <c r="D72" i="57"/>
  <c r="B72" i="57"/>
  <c r="Z71" i="57"/>
  <c r="P71" i="57"/>
  <c r="X71" i="57" s="1"/>
  <c r="N71" i="57"/>
  <c r="L71" i="57"/>
  <c r="D71" i="57"/>
  <c r="B71" i="57"/>
  <c r="Z70" i="57"/>
  <c r="P70" i="57"/>
  <c r="X70" i="57" s="1"/>
  <c r="N70" i="57"/>
  <c r="D70" i="57"/>
  <c r="D69" i="57" s="1"/>
  <c r="B70" i="57"/>
  <c r="Z69" i="57"/>
  <c r="T69" i="57"/>
  <c r="P69" i="57"/>
  <c r="X69" i="57" s="1"/>
  <c r="H69" i="57"/>
  <c r="N69" i="57" s="1"/>
  <c r="Z67" i="57"/>
  <c r="X67" i="57"/>
  <c r="N67" i="57"/>
  <c r="L67" i="57"/>
  <c r="B67" i="57"/>
  <c r="Z66" i="57"/>
  <c r="X66" i="57"/>
  <c r="T66" i="57"/>
  <c r="P66" i="57"/>
  <c r="H66" i="57"/>
  <c r="N66" i="57" s="1"/>
  <c r="D66" i="57"/>
  <c r="L66" i="57" s="1"/>
  <c r="B66" i="57"/>
  <c r="Z65" i="57"/>
  <c r="X65" i="57"/>
  <c r="N65" i="57"/>
  <c r="L65" i="57"/>
  <c r="B65" i="57"/>
  <c r="X64" i="57"/>
  <c r="V64" i="57"/>
  <c r="T64" i="57"/>
  <c r="Z64" i="57" s="1"/>
  <c r="P64" i="57"/>
  <c r="H64" i="57"/>
  <c r="D64" i="57"/>
  <c r="L64" i="57" s="1"/>
  <c r="N64" i="57" s="1"/>
  <c r="B64" i="57"/>
  <c r="Z63" i="57"/>
  <c r="X63" i="57"/>
  <c r="L63" i="57"/>
  <c r="N63" i="57" s="1"/>
  <c r="B63" i="57"/>
  <c r="T62" i="57"/>
  <c r="R62" i="57"/>
  <c r="P62" i="57"/>
  <c r="H62" i="57"/>
  <c r="N62" i="57" s="1"/>
  <c r="D62" i="57"/>
  <c r="L62" i="57" s="1"/>
  <c r="B62" i="57"/>
  <c r="Z61" i="57"/>
  <c r="X61" i="57"/>
  <c r="V61" i="57"/>
  <c r="N61" i="57"/>
  <c r="L61" i="57"/>
  <c r="B61" i="57"/>
  <c r="Z60" i="57"/>
  <c r="X60" i="57"/>
  <c r="V60" i="57"/>
  <c r="N60" i="57"/>
  <c r="L60" i="57"/>
  <c r="B60" i="57"/>
  <c r="X59" i="57"/>
  <c r="Z59" i="57" s="1"/>
  <c r="N59" i="57"/>
  <c r="L59" i="57"/>
  <c r="B59" i="57"/>
  <c r="Z58" i="57"/>
  <c r="X58" i="57"/>
  <c r="T58" i="57"/>
  <c r="P58" i="57"/>
  <c r="H58" i="57"/>
  <c r="N58" i="57" s="1"/>
  <c r="D58" i="57"/>
  <c r="L58" i="57" s="1"/>
  <c r="B58" i="57"/>
  <c r="Z57" i="57"/>
  <c r="X57" i="57"/>
  <c r="N57" i="57"/>
  <c r="L57" i="57"/>
  <c r="B57" i="57"/>
  <c r="X56" i="57"/>
  <c r="V56" i="57"/>
  <c r="T56" i="57"/>
  <c r="Z56" i="57" s="1"/>
  <c r="P56" i="57"/>
  <c r="H56" i="57"/>
  <c r="D56" i="57"/>
  <c r="L56" i="57" s="1"/>
  <c r="N56" i="57" s="1"/>
  <c r="B56" i="57"/>
  <c r="Z55" i="57"/>
  <c r="X55" i="57"/>
  <c r="N55" i="57"/>
  <c r="L55" i="57"/>
  <c r="B55" i="57"/>
  <c r="Z54" i="57"/>
  <c r="X54" i="57"/>
  <c r="R54" i="57"/>
  <c r="N54" i="57"/>
  <c r="L54" i="57"/>
  <c r="B54" i="57"/>
  <c r="Z53" i="57"/>
  <c r="X53" i="57"/>
  <c r="R53" i="57"/>
  <c r="N53" i="57"/>
  <c r="L53" i="57"/>
  <c r="B53" i="57"/>
  <c r="T52" i="57"/>
  <c r="P52" i="57"/>
  <c r="X52" i="57" s="1"/>
  <c r="N52" i="57"/>
  <c r="H52" i="57"/>
  <c r="L52" i="57" s="1"/>
  <c r="D52" i="57"/>
  <c r="B52" i="57"/>
  <c r="X51" i="57"/>
  <c r="Z51" i="57" s="1"/>
  <c r="L51" i="57"/>
  <c r="N51" i="57" s="1"/>
  <c r="B51" i="57"/>
  <c r="Z50" i="57"/>
  <c r="X50" i="57"/>
  <c r="T50" i="57"/>
  <c r="P50" i="57"/>
  <c r="H50" i="57"/>
  <c r="N50" i="57" s="1"/>
  <c r="D50" i="57"/>
  <c r="L50" i="57" s="1"/>
  <c r="B50" i="57"/>
  <c r="Z49" i="57"/>
  <c r="X49" i="57"/>
  <c r="N49" i="57"/>
  <c r="L49" i="57"/>
  <c r="B49" i="57"/>
  <c r="X48" i="57"/>
  <c r="V48" i="57"/>
  <c r="T48" i="57"/>
  <c r="P48" i="57"/>
  <c r="H48" i="57"/>
  <c r="D48" i="57"/>
  <c r="L48" i="57" s="1"/>
  <c r="N48" i="57" s="1"/>
  <c r="B48" i="57"/>
  <c r="X47" i="57"/>
  <c r="Z47" i="57" s="1"/>
  <c r="L47" i="57"/>
  <c r="N47" i="57" s="1"/>
  <c r="B47" i="57"/>
  <c r="Z46" i="57"/>
  <c r="X46" i="57"/>
  <c r="R46" i="57"/>
  <c r="N46" i="57"/>
  <c r="L46" i="57"/>
  <c r="B46" i="57"/>
  <c r="T45" i="57"/>
  <c r="P45" i="57"/>
  <c r="L45" i="57"/>
  <c r="N45" i="57" s="1"/>
  <c r="H45" i="57"/>
  <c r="D45" i="57"/>
  <c r="B45" i="57"/>
  <c r="X44" i="57"/>
  <c r="Z44" i="57" s="1"/>
  <c r="V44" i="57"/>
  <c r="L44" i="57"/>
  <c r="N44" i="57" s="1"/>
  <c r="B44" i="57"/>
  <c r="T43" i="57"/>
  <c r="P43" i="57"/>
  <c r="X43" i="57" s="1"/>
  <c r="Z43" i="57" s="1"/>
  <c r="H43" i="57"/>
  <c r="D43" i="57"/>
  <c r="B43" i="57"/>
  <c r="Z42" i="57"/>
  <c r="X42" i="57"/>
  <c r="N42" i="57"/>
  <c r="L42" i="57"/>
  <c r="B42" i="57"/>
  <c r="T41" i="57"/>
  <c r="Z41" i="57" s="1"/>
  <c r="P41" i="57"/>
  <c r="X41" i="57" s="1"/>
  <c r="L41" i="57"/>
  <c r="N41" i="57" s="1"/>
  <c r="H41" i="57"/>
  <c r="D41" i="57"/>
  <c r="B41" i="57"/>
  <c r="Z40" i="57"/>
  <c r="X40" i="57"/>
  <c r="N40" i="57"/>
  <c r="L40" i="57"/>
  <c r="B40" i="57"/>
  <c r="Z39" i="57"/>
  <c r="X39" i="57"/>
  <c r="N39" i="57"/>
  <c r="L39" i="57"/>
  <c r="B39" i="57"/>
  <c r="Z38" i="57"/>
  <c r="X38" i="57"/>
  <c r="R38" i="57"/>
  <c r="N38" i="57"/>
  <c r="L38" i="57"/>
  <c r="B38" i="57"/>
  <c r="Z37" i="57"/>
  <c r="X37" i="57"/>
  <c r="R37" i="57"/>
  <c r="N37" i="57"/>
  <c r="L37" i="57"/>
  <c r="F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R34" i="57"/>
  <c r="N34" i="57"/>
  <c r="L34" i="57"/>
  <c r="B34" i="57"/>
  <c r="Z33" i="57"/>
  <c r="X33" i="57"/>
  <c r="R33" i="57"/>
  <c r="N33" i="57"/>
  <c r="L33" i="57"/>
  <c r="F33" i="57"/>
  <c r="B33" i="57"/>
  <c r="X32" i="57"/>
  <c r="Z32" i="57" s="1"/>
  <c r="L32" i="57"/>
  <c r="N32" i="57" s="1"/>
  <c r="B32" i="57"/>
  <c r="X31" i="57"/>
  <c r="Z31" i="57" s="1"/>
  <c r="L31" i="57"/>
  <c r="N31" i="57" s="1"/>
  <c r="B31" i="57"/>
  <c r="T30" i="57"/>
  <c r="R30" i="57"/>
  <c r="P30" i="57"/>
  <c r="H30" i="57"/>
  <c r="N30" i="57" s="1"/>
  <c r="D30" i="57"/>
  <c r="L30" i="57" s="1"/>
  <c r="B30" i="57"/>
  <c r="Z29" i="57"/>
  <c r="X29" i="57"/>
  <c r="V29" i="57"/>
  <c r="R29" i="57"/>
  <c r="N29" i="57"/>
  <c r="L29" i="57"/>
  <c r="B29" i="57"/>
  <c r="X28" i="57"/>
  <c r="Z28" i="57" s="1"/>
  <c r="V28" i="57"/>
  <c r="L28" i="57"/>
  <c r="N28" i="57" s="1"/>
  <c r="B28" i="57"/>
  <c r="X27" i="57"/>
  <c r="Z27" i="57" s="1"/>
  <c r="L27" i="57"/>
  <c r="N27" i="57" s="1"/>
  <c r="B27" i="57"/>
  <c r="Z26" i="57"/>
  <c r="X26" i="57"/>
  <c r="N26" i="57"/>
  <c r="L26" i="57"/>
  <c r="B26" i="57"/>
  <c r="Z25" i="57"/>
  <c r="X25" i="57"/>
  <c r="V25" i="57"/>
  <c r="R25" i="57"/>
  <c r="N25" i="57"/>
  <c r="L25" i="57"/>
  <c r="B25" i="57"/>
  <c r="X24" i="57"/>
  <c r="Z24" i="57" s="1"/>
  <c r="V24" i="57"/>
  <c r="L24" i="57"/>
  <c r="N24" i="57" s="1"/>
  <c r="B24" i="57"/>
  <c r="X23" i="57"/>
  <c r="Z23" i="57" s="1"/>
  <c r="L23" i="57"/>
  <c r="N23" i="57" s="1"/>
  <c r="B23" i="57"/>
  <c r="Z22" i="57"/>
  <c r="X22" i="57"/>
  <c r="N22" i="57"/>
  <c r="L22" i="57"/>
  <c r="B22" i="57"/>
  <c r="Z21" i="57"/>
  <c r="X21" i="57"/>
  <c r="V21" i="57"/>
  <c r="R21" i="57"/>
  <c r="N21" i="57"/>
  <c r="L21" i="57"/>
  <c r="B21" i="57"/>
  <c r="V20" i="57"/>
  <c r="T20" i="57"/>
  <c r="Z20" i="57" s="1"/>
  <c r="P20" i="57"/>
  <c r="X20" i="57" s="1"/>
  <c r="N20" i="57"/>
  <c r="L20" i="57"/>
  <c r="H20" i="57"/>
  <c r="D20" i="57"/>
  <c r="B20" i="57"/>
  <c r="X19" i="57"/>
  <c r="Z19" i="57" s="1"/>
  <c r="T19" i="57"/>
  <c r="R19" i="57"/>
  <c r="P19" i="57"/>
  <c r="H19" i="57"/>
  <c r="D19" i="57"/>
  <c r="L19" i="57" s="1"/>
  <c r="R17" i="57"/>
  <c r="Z15" i="57"/>
  <c r="T15" i="57"/>
  <c r="R15" i="57"/>
  <c r="P15" i="57"/>
  <c r="P17" i="57" s="1"/>
  <c r="H15" i="57"/>
  <c r="N15" i="57" s="1"/>
  <c r="D15" i="57"/>
  <c r="L15" i="57" s="1"/>
  <c r="Z13" i="57"/>
  <c r="X13" i="57"/>
  <c r="P13" i="57"/>
  <c r="P12" i="57" s="1"/>
  <c r="N13" i="57"/>
  <c r="L13" i="57"/>
  <c r="D13" i="57"/>
  <c r="D12" i="57" s="1"/>
  <c r="B13" i="57"/>
  <c r="T12" i="57"/>
  <c r="V66" i="57" s="1"/>
  <c r="H12" i="57"/>
  <c r="D6" i="57"/>
  <c r="D4" i="57"/>
  <c r="J86" i="56"/>
  <c r="J83" i="56"/>
  <c r="Z81" i="56"/>
  <c r="X81" i="56"/>
  <c r="N81" i="56"/>
  <c r="L81" i="56"/>
  <c r="T77" i="56"/>
  <c r="X77" i="56" s="1"/>
  <c r="P77" i="56"/>
  <c r="J77" i="56"/>
  <c r="H77" i="56"/>
  <c r="N77" i="56" s="1"/>
  <c r="D77" i="56"/>
  <c r="L77" i="56" s="1"/>
  <c r="Z75" i="56"/>
  <c r="X75" i="56"/>
  <c r="R75" i="56"/>
  <c r="N75" i="56"/>
  <c r="L75" i="56"/>
  <c r="B75" i="56"/>
  <c r="T74" i="56"/>
  <c r="P74" i="56"/>
  <c r="L74" i="56"/>
  <c r="N74" i="56" s="1"/>
  <c r="H74" i="56"/>
  <c r="D74" i="56"/>
  <c r="B74" i="56"/>
  <c r="X73" i="56"/>
  <c r="Z73" i="56" s="1"/>
  <c r="V73" i="56"/>
  <c r="L73" i="56"/>
  <c r="N73" i="56" s="1"/>
  <c r="J73" i="56"/>
  <c r="B73" i="56"/>
  <c r="T72" i="56"/>
  <c r="P72" i="56"/>
  <c r="X72" i="56" s="1"/>
  <c r="Z72" i="56" s="1"/>
  <c r="J72" i="56"/>
  <c r="H72" i="56"/>
  <c r="D72" i="56"/>
  <c r="B72" i="56"/>
  <c r="Z71" i="56"/>
  <c r="X71" i="56"/>
  <c r="N71" i="56"/>
  <c r="L71" i="56"/>
  <c r="B71" i="56"/>
  <c r="T70" i="56"/>
  <c r="Z70" i="56" s="1"/>
  <c r="P70" i="56"/>
  <c r="X70" i="56" s="1"/>
  <c r="J70" i="56"/>
  <c r="H70" i="56"/>
  <c r="D70" i="56"/>
  <c r="L70" i="56" s="1"/>
  <c r="N70" i="56" s="1"/>
  <c r="B70" i="56"/>
  <c r="X69" i="56"/>
  <c r="Z69" i="56" s="1"/>
  <c r="N69" i="56"/>
  <c r="L69" i="56"/>
  <c r="J69" i="56"/>
  <c r="B69" i="56"/>
  <c r="X68" i="56"/>
  <c r="Z68" i="56" s="1"/>
  <c r="N68" i="56"/>
  <c r="L68" i="56"/>
  <c r="B68" i="56"/>
  <c r="Z67" i="56"/>
  <c r="X67" i="56"/>
  <c r="R67" i="56"/>
  <c r="N67" i="56"/>
  <c r="L67" i="56"/>
  <c r="B67" i="56"/>
  <c r="T66" i="56"/>
  <c r="P66" i="56"/>
  <c r="L66" i="56"/>
  <c r="N66" i="56" s="1"/>
  <c r="H66" i="56"/>
  <c r="D66" i="56"/>
  <c r="B66" i="56"/>
  <c r="X65" i="56"/>
  <c r="Z65" i="56" s="1"/>
  <c r="V65" i="56"/>
  <c r="N65" i="56"/>
  <c r="L65" i="56"/>
  <c r="J65" i="56"/>
  <c r="B65" i="56"/>
  <c r="T64" i="56"/>
  <c r="P64" i="56"/>
  <c r="X64" i="56" s="1"/>
  <c r="Z64" i="56" s="1"/>
  <c r="J64" i="56"/>
  <c r="H64" i="56"/>
  <c r="D64" i="56"/>
  <c r="B64" i="56"/>
  <c r="Z63" i="56"/>
  <c r="X63" i="56"/>
  <c r="N63" i="56"/>
  <c r="L63" i="56"/>
  <c r="B63" i="56"/>
  <c r="T62" i="56"/>
  <c r="P62" i="56"/>
  <c r="X62" i="56" s="1"/>
  <c r="J62" i="56"/>
  <c r="H62" i="56"/>
  <c r="F62" i="56"/>
  <c r="D62" i="56"/>
  <c r="L62" i="56" s="1"/>
  <c r="N62" i="56" s="1"/>
  <c r="B62" i="56"/>
  <c r="X61" i="56"/>
  <c r="Z61" i="56" s="1"/>
  <c r="N61" i="56"/>
  <c r="L61" i="56"/>
  <c r="J61" i="56"/>
  <c r="B61" i="56"/>
  <c r="X60" i="56"/>
  <c r="Z60" i="56" s="1"/>
  <c r="L60" i="56"/>
  <c r="N60" i="56" s="1"/>
  <c r="B60" i="56"/>
  <c r="Z59" i="56"/>
  <c r="X59" i="56"/>
  <c r="R59" i="56"/>
  <c r="N59" i="56"/>
  <c r="L59" i="56"/>
  <c r="B59" i="56"/>
  <c r="T58" i="56"/>
  <c r="P58" i="56"/>
  <c r="L58" i="56"/>
  <c r="N58" i="56" s="1"/>
  <c r="H58" i="56"/>
  <c r="D58" i="56"/>
  <c r="B58" i="56"/>
  <c r="X57" i="56"/>
  <c r="Z57" i="56" s="1"/>
  <c r="V57" i="56"/>
  <c r="L57" i="56"/>
  <c r="N57" i="56" s="1"/>
  <c r="J57" i="56"/>
  <c r="B57" i="56"/>
  <c r="T56" i="56"/>
  <c r="P56" i="56"/>
  <c r="X56" i="56" s="1"/>
  <c r="Z56" i="56" s="1"/>
  <c r="J56" i="56"/>
  <c r="H56" i="56"/>
  <c r="D56" i="56"/>
  <c r="B56" i="56"/>
  <c r="Z55" i="56"/>
  <c r="X55" i="56"/>
  <c r="N55" i="56"/>
  <c r="L55" i="56"/>
  <c r="B55" i="56"/>
  <c r="T54" i="56"/>
  <c r="Z54" i="56" s="1"/>
  <c r="P54" i="56"/>
  <c r="X54" i="56" s="1"/>
  <c r="N54" i="56"/>
  <c r="J54" i="56"/>
  <c r="H54" i="56"/>
  <c r="F54" i="56"/>
  <c r="D54" i="56"/>
  <c r="L54" i="56" s="1"/>
  <c r="B54" i="56"/>
  <c r="X53" i="56"/>
  <c r="Z53" i="56" s="1"/>
  <c r="L53" i="56"/>
  <c r="N53" i="56" s="1"/>
  <c r="J53" i="56"/>
  <c r="B53" i="56"/>
  <c r="X52" i="56"/>
  <c r="Z52" i="56" s="1"/>
  <c r="T52" i="56"/>
  <c r="P52" i="56"/>
  <c r="H52" i="56"/>
  <c r="D52" i="56"/>
  <c r="L52" i="56" s="1"/>
  <c r="B52" i="56"/>
  <c r="Z51" i="56"/>
  <c r="X51" i="56"/>
  <c r="N51" i="56"/>
  <c r="L51" i="56"/>
  <c r="B51" i="56"/>
  <c r="T50" i="56"/>
  <c r="P50" i="56"/>
  <c r="H50" i="56"/>
  <c r="D50" i="56"/>
  <c r="L50" i="56" s="1"/>
  <c r="N50" i="56" s="1"/>
  <c r="B50" i="56"/>
  <c r="X49" i="56"/>
  <c r="Z49" i="56" s="1"/>
  <c r="N49" i="56"/>
  <c r="L49" i="56"/>
  <c r="J49" i="56"/>
  <c r="B49" i="56"/>
  <c r="X48" i="56"/>
  <c r="Z48" i="56" s="1"/>
  <c r="T48" i="56"/>
  <c r="R48" i="56"/>
  <c r="P48" i="56"/>
  <c r="H48" i="56"/>
  <c r="N48" i="56" s="1"/>
  <c r="D48" i="56"/>
  <c r="B48" i="56"/>
  <c r="Z47" i="56"/>
  <c r="X47" i="56"/>
  <c r="R47" i="56"/>
  <c r="N47" i="56"/>
  <c r="L47" i="56"/>
  <c r="B47" i="56"/>
  <c r="X46" i="56"/>
  <c r="Z46" i="56" s="1"/>
  <c r="R46" i="56"/>
  <c r="N46" i="56"/>
  <c r="L46" i="56"/>
  <c r="J46" i="56"/>
  <c r="B46" i="56"/>
  <c r="T45" i="56"/>
  <c r="P45" i="56"/>
  <c r="X45" i="56" s="1"/>
  <c r="H45" i="56"/>
  <c r="L45" i="56" s="1"/>
  <c r="D45" i="56"/>
  <c r="B45" i="56"/>
  <c r="X44" i="56"/>
  <c r="Z44" i="56" s="1"/>
  <c r="L44" i="56"/>
  <c r="N44" i="56" s="1"/>
  <c r="J44" i="56"/>
  <c r="B44" i="56"/>
  <c r="Z43" i="56"/>
  <c r="X43" i="56"/>
  <c r="T43" i="56"/>
  <c r="P43" i="56"/>
  <c r="J43" i="56"/>
  <c r="H43" i="56"/>
  <c r="N43" i="56" s="1"/>
  <c r="D43" i="56"/>
  <c r="L43" i="56" s="1"/>
  <c r="B43" i="56"/>
  <c r="Z42" i="56"/>
  <c r="X42" i="56"/>
  <c r="R42" i="56"/>
  <c r="L42" i="56"/>
  <c r="N42" i="56" s="1"/>
  <c r="J42" i="56"/>
  <c r="B42" i="56"/>
  <c r="X41" i="56"/>
  <c r="T41" i="56"/>
  <c r="P41" i="56"/>
  <c r="N41" i="56"/>
  <c r="H41" i="56"/>
  <c r="D41" i="56"/>
  <c r="L41" i="56" s="1"/>
  <c r="B41" i="56"/>
  <c r="Z40" i="56"/>
  <c r="X40" i="56"/>
  <c r="N40" i="56"/>
  <c r="L40" i="56"/>
  <c r="B40" i="56"/>
  <c r="Z39" i="56"/>
  <c r="X39" i="56"/>
  <c r="R39" i="56"/>
  <c r="N39" i="56"/>
  <c r="L39" i="56"/>
  <c r="B39" i="56"/>
  <c r="X38" i="56"/>
  <c r="Z38" i="56" s="1"/>
  <c r="R38" i="56"/>
  <c r="N38" i="56"/>
  <c r="L38" i="56"/>
  <c r="J38" i="56"/>
  <c r="B38" i="56"/>
  <c r="X37" i="56"/>
  <c r="Z37" i="56" s="1"/>
  <c r="V37" i="56"/>
  <c r="L37" i="56"/>
  <c r="N37" i="56" s="1"/>
  <c r="J37" i="56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R34" i="56"/>
  <c r="N34" i="56"/>
  <c r="L34" i="56"/>
  <c r="J34" i="56"/>
  <c r="B34" i="56"/>
  <c r="Z33" i="56"/>
  <c r="X33" i="56"/>
  <c r="V33" i="56"/>
  <c r="N33" i="56"/>
  <c r="L33" i="56"/>
  <c r="J33" i="56"/>
  <c r="B33" i="56"/>
  <c r="Z32" i="56"/>
  <c r="X32" i="56"/>
  <c r="L32" i="56"/>
  <c r="N32" i="56" s="1"/>
  <c r="B32" i="56"/>
  <c r="Z31" i="56"/>
  <c r="X31" i="56"/>
  <c r="R31" i="56"/>
  <c r="N31" i="56"/>
  <c r="L31" i="56"/>
  <c r="B31" i="56"/>
  <c r="T30" i="56"/>
  <c r="P30" i="56"/>
  <c r="X30" i="56" s="1"/>
  <c r="J30" i="56"/>
  <c r="H30" i="56"/>
  <c r="D30" i="56"/>
  <c r="L30" i="56" s="1"/>
  <c r="N30" i="56" s="1"/>
  <c r="B30" i="56"/>
  <c r="X29" i="56"/>
  <c r="Z29" i="56" s="1"/>
  <c r="V29" i="56"/>
  <c r="L29" i="56"/>
  <c r="N29" i="56" s="1"/>
  <c r="J29" i="56"/>
  <c r="B29" i="56"/>
  <c r="X28" i="56"/>
  <c r="Z28" i="56" s="1"/>
  <c r="L28" i="56"/>
  <c r="N28" i="56" s="1"/>
  <c r="J28" i="56"/>
  <c r="B28" i="56"/>
  <c r="Z27" i="56"/>
  <c r="X27" i="56"/>
  <c r="N27" i="56"/>
  <c r="L27" i="56"/>
  <c r="B27" i="56"/>
  <c r="Z26" i="56"/>
  <c r="X26" i="56"/>
  <c r="R26" i="56"/>
  <c r="N26" i="56"/>
  <c r="L26" i="56"/>
  <c r="B26" i="56"/>
  <c r="X25" i="56"/>
  <c r="Z25" i="56" s="1"/>
  <c r="R25" i="56"/>
  <c r="L25" i="56"/>
  <c r="N25" i="56" s="1"/>
  <c r="J25" i="56"/>
  <c r="B25" i="56"/>
  <c r="X24" i="56"/>
  <c r="Z24" i="56" s="1"/>
  <c r="L24" i="56"/>
  <c r="N24" i="56" s="1"/>
  <c r="J24" i="56"/>
  <c r="B24" i="56"/>
  <c r="Z23" i="56"/>
  <c r="X23" i="56"/>
  <c r="N23" i="56"/>
  <c r="L23" i="56"/>
  <c r="B23" i="56"/>
  <c r="Z22" i="56"/>
  <c r="X22" i="56"/>
  <c r="R22" i="56"/>
  <c r="N22" i="56"/>
  <c r="L22" i="56"/>
  <c r="B22" i="56"/>
  <c r="X21" i="56"/>
  <c r="Z21" i="56" s="1"/>
  <c r="L21" i="56"/>
  <c r="N21" i="56" s="1"/>
  <c r="J21" i="56"/>
  <c r="B21" i="56"/>
  <c r="X20" i="56"/>
  <c r="T20" i="56"/>
  <c r="P20" i="56"/>
  <c r="N20" i="56"/>
  <c r="J20" i="56"/>
  <c r="H20" i="56"/>
  <c r="L20" i="56" s="1"/>
  <c r="D20" i="56"/>
  <c r="B20" i="56"/>
  <c r="T19" i="56"/>
  <c r="R19" i="56"/>
  <c r="P19" i="56"/>
  <c r="X19" i="56" s="1"/>
  <c r="Z19" i="56" s="1"/>
  <c r="L19" i="56"/>
  <c r="J19" i="56"/>
  <c r="H19" i="56"/>
  <c r="D19" i="56"/>
  <c r="R17" i="56"/>
  <c r="J17" i="56"/>
  <c r="H17" i="56"/>
  <c r="Z15" i="56"/>
  <c r="T15" i="56"/>
  <c r="R15" i="56"/>
  <c r="P15" i="56"/>
  <c r="P17" i="56" s="1"/>
  <c r="L15" i="56"/>
  <c r="J15" i="56"/>
  <c r="H15" i="56"/>
  <c r="N15" i="56" s="1"/>
  <c r="D15" i="56"/>
  <c r="Z13" i="56"/>
  <c r="P13" i="56"/>
  <c r="P12" i="56" s="1"/>
  <c r="N13" i="56"/>
  <c r="L13" i="56"/>
  <c r="D13" i="56"/>
  <c r="D12" i="56" s="1"/>
  <c r="B13" i="56"/>
  <c r="T12" i="56"/>
  <c r="V50" i="56" s="1"/>
  <c r="N12" i="56"/>
  <c r="H12" i="56"/>
  <c r="J75" i="56" s="1"/>
  <c r="D6" i="56"/>
  <c r="D4" i="56"/>
  <c r="V40" i="55"/>
  <c r="V37" i="55"/>
  <c r="F37" i="55"/>
  <c r="Z35" i="55"/>
  <c r="X35" i="55"/>
  <c r="V35" i="55"/>
  <c r="N35" i="55"/>
  <c r="L35" i="55"/>
  <c r="V33" i="55"/>
  <c r="J33" i="55"/>
  <c r="V31" i="55"/>
  <c r="T31" i="55"/>
  <c r="Z31" i="55" s="1"/>
  <c r="P31" i="55"/>
  <c r="N31" i="55"/>
  <c r="H31" i="55"/>
  <c r="D31" i="55"/>
  <c r="L31" i="55" s="1"/>
  <c r="X29" i="55"/>
  <c r="Z29" i="55" s="1"/>
  <c r="V29" i="55"/>
  <c r="N29" i="55"/>
  <c r="L29" i="55"/>
  <c r="B29" i="55"/>
  <c r="X28" i="55"/>
  <c r="Z28" i="55" s="1"/>
  <c r="V28" i="55"/>
  <c r="N28" i="55"/>
  <c r="L28" i="55"/>
  <c r="J28" i="55"/>
  <c r="F28" i="55"/>
  <c r="B28" i="55"/>
  <c r="V27" i="55"/>
  <c r="T27" i="55"/>
  <c r="P27" i="55"/>
  <c r="X27" i="55" s="1"/>
  <c r="Z27" i="55" s="1"/>
  <c r="H27" i="55"/>
  <c r="N27" i="55" s="1"/>
  <c r="D27" i="55"/>
  <c r="L27" i="55" s="1"/>
  <c r="B27" i="55"/>
  <c r="Z26" i="55"/>
  <c r="X26" i="55"/>
  <c r="N26" i="55"/>
  <c r="L26" i="55"/>
  <c r="F26" i="55"/>
  <c r="B26" i="55"/>
  <c r="Z25" i="55"/>
  <c r="X25" i="55"/>
  <c r="V25" i="55"/>
  <c r="T25" i="55"/>
  <c r="R25" i="55"/>
  <c r="P25" i="55"/>
  <c r="N25" i="55"/>
  <c r="H25" i="55"/>
  <c r="D25" i="55"/>
  <c r="L25" i="55" s="1"/>
  <c r="B25" i="55"/>
  <c r="Z24" i="55"/>
  <c r="X24" i="55"/>
  <c r="V24" i="55"/>
  <c r="L24" i="55"/>
  <c r="N24" i="55" s="1"/>
  <c r="J24" i="55"/>
  <c r="B24" i="55"/>
  <c r="V23" i="55"/>
  <c r="T23" i="55"/>
  <c r="Z23" i="55" s="1"/>
  <c r="P23" i="55"/>
  <c r="X23" i="55" s="1"/>
  <c r="H23" i="55"/>
  <c r="D23" i="55"/>
  <c r="B23" i="55"/>
  <c r="Z22" i="55"/>
  <c r="X22" i="55"/>
  <c r="V22" i="55"/>
  <c r="L22" i="55"/>
  <c r="N22" i="55" s="1"/>
  <c r="B22" i="55"/>
  <c r="V21" i="55"/>
  <c r="T21" i="55"/>
  <c r="P21" i="55"/>
  <c r="L21" i="55"/>
  <c r="N21" i="55" s="1"/>
  <c r="J21" i="55"/>
  <c r="H21" i="55"/>
  <c r="D21" i="55"/>
  <c r="B21" i="55"/>
  <c r="X20" i="55"/>
  <c r="Z20" i="55" s="1"/>
  <c r="V20" i="55"/>
  <c r="N20" i="55"/>
  <c r="L20" i="55"/>
  <c r="F20" i="55"/>
  <c r="B20" i="55"/>
  <c r="X19" i="55"/>
  <c r="Z19" i="55" s="1"/>
  <c r="T19" i="55"/>
  <c r="P19" i="55"/>
  <c r="H19" i="55"/>
  <c r="L19" i="55" s="1"/>
  <c r="N19" i="55" s="1"/>
  <c r="D19" i="55"/>
  <c r="B19" i="55"/>
  <c r="T18" i="55"/>
  <c r="P18" i="55"/>
  <c r="H18" i="55"/>
  <c r="N18" i="55" s="1"/>
  <c r="D18" i="55"/>
  <c r="L18" i="55" s="1"/>
  <c r="R16" i="55"/>
  <c r="P16" i="55"/>
  <c r="D16" i="55"/>
  <c r="T14" i="55"/>
  <c r="Z14" i="55" s="1"/>
  <c r="R14" i="55"/>
  <c r="P14" i="55"/>
  <c r="L14" i="55"/>
  <c r="J14" i="55"/>
  <c r="H14" i="55"/>
  <c r="N14" i="55" s="1"/>
  <c r="D14" i="55"/>
  <c r="Z12" i="55"/>
  <c r="T12" i="55"/>
  <c r="V26" i="55" s="1"/>
  <c r="P12" i="55"/>
  <c r="R23" i="55" s="1"/>
  <c r="L12" i="55"/>
  <c r="H12" i="55"/>
  <c r="J31" i="55" s="1"/>
  <c r="D12" i="55"/>
  <c r="F27" i="55" s="1"/>
  <c r="D6" i="55"/>
  <c r="D4" i="55"/>
  <c r="J31" i="54"/>
  <c r="T29" i="54"/>
  <c r="Z29" i="54" s="1"/>
  <c r="P29" i="54"/>
  <c r="X29" i="54" s="1"/>
  <c r="H29" i="54"/>
  <c r="L29" i="54" s="1"/>
  <c r="N29" i="54" s="1"/>
  <c r="D29" i="54"/>
  <c r="X28" i="54"/>
  <c r="T28" i="54"/>
  <c r="P28" i="54"/>
  <c r="N28" i="54"/>
  <c r="L28" i="54"/>
  <c r="J28" i="54"/>
  <c r="H28" i="54"/>
  <c r="D28" i="54"/>
  <c r="F26" i="54"/>
  <c r="Z24" i="54"/>
  <c r="X24" i="54"/>
  <c r="N24" i="54"/>
  <c r="L24" i="54"/>
  <c r="J24" i="54"/>
  <c r="V22" i="54"/>
  <c r="Z20" i="54"/>
  <c r="T20" i="54"/>
  <c r="P20" i="54"/>
  <c r="N20" i="54"/>
  <c r="J20" i="54"/>
  <c r="H20" i="54"/>
  <c r="D20" i="54"/>
  <c r="L20" i="54" s="1"/>
  <c r="T18" i="54"/>
  <c r="Z18" i="54" s="1"/>
  <c r="P18" i="54"/>
  <c r="X18" i="54" s="1"/>
  <c r="J18" i="54"/>
  <c r="H18" i="54"/>
  <c r="N18" i="54" s="1"/>
  <c r="F18" i="54"/>
  <c r="D18" i="54"/>
  <c r="P16" i="54"/>
  <c r="F16" i="54"/>
  <c r="D16" i="54"/>
  <c r="Z14" i="54"/>
  <c r="T14" i="54"/>
  <c r="P14" i="54"/>
  <c r="X14" i="54" s="1"/>
  <c r="J14" i="54"/>
  <c r="H14" i="54"/>
  <c r="N14" i="54" s="1"/>
  <c r="D14" i="54"/>
  <c r="Z12" i="54"/>
  <c r="X12" i="54"/>
  <c r="T12" i="54"/>
  <c r="V14" i="54" s="1"/>
  <c r="P12" i="54"/>
  <c r="H12" i="54"/>
  <c r="N12" i="54" s="1"/>
  <c r="D12" i="54"/>
  <c r="F28" i="54" s="1"/>
  <c r="D6" i="54"/>
  <c r="D4" i="54"/>
  <c r="X103" i="51"/>
  <c r="Z103" i="51" s="1"/>
  <c r="V103" i="51"/>
  <c r="N103" i="51"/>
  <c r="L103" i="51"/>
  <c r="X99" i="51"/>
  <c r="Z99" i="51" s="1"/>
  <c r="P99" i="51"/>
  <c r="N99" i="51"/>
  <c r="L99" i="51"/>
  <c r="D99" i="51"/>
  <c r="B99" i="51"/>
  <c r="Z98" i="51"/>
  <c r="P98" i="51"/>
  <c r="X98" i="51" s="1"/>
  <c r="N98" i="51"/>
  <c r="L98" i="51"/>
  <c r="D98" i="51"/>
  <c r="D97" i="51" s="1"/>
  <c r="B98" i="51"/>
  <c r="T97" i="51"/>
  <c r="P97" i="51"/>
  <c r="L97" i="51"/>
  <c r="J97" i="51"/>
  <c r="H97" i="51"/>
  <c r="N97" i="51" s="1"/>
  <c r="X95" i="51"/>
  <c r="Z95" i="51" s="1"/>
  <c r="N95" i="51"/>
  <c r="L95" i="51"/>
  <c r="B95" i="51"/>
  <c r="T94" i="51"/>
  <c r="X94" i="51" s="1"/>
  <c r="Z94" i="51" s="1"/>
  <c r="P94" i="51"/>
  <c r="H94" i="51"/>
  <c r="D94" i="51"/>
  <c r="L94" i="51" s="1"/>
  <c r="N94" i="51" s="1"/>
  <c r="B94" i="51"/>
  <c r="Z93" i="51"/>
  <c r="X93" i="51"/>
  <c r="L93" i="51"/>
  <c r="N93" i="51" s="1"/>
  <c r="B93" i="51"/>
  <c r="Z92" i="51"/>
  <c r="X92" i="51"/>
  <c r="V92" i="51"/>
  <c r="T92" i="51"/>
  <c r="P92" i="51"/>
  <c r="H92" i="51"/>
  <c r="D92" i="51"/>
  <c r="L92" i="51" s="1"/>
  <c r="N92" i="51" s="1"/>
  <c r="B92" i="51"/>
  <c r="Z91" i="51"/>
  <c r="X91" i="51"/>
  <c r="L91" i="51"/>
  <c r="N91" i="51" s="1"/>
  <c r="B91" i="51"/>
  <c r="X90" i="51"/>
  <c r="Z90" i="51" s="1"/>
  <c r="V90" i="51"/>
  <c r="N90" i="51"/>
  <c r="L90" i="51"/>
  <c r="B90" i="51"/>
  <c r="Z89" i="51"/>
  <c r="X89" i="51"/>
  <c r="N89" i="51"/>
  <c r="L89" i="51"/>
  <c r="B89" i="51"/>
  <c r="T88" i="51"/>
  <c r="Z88" i="51" s="1"/>
  <c r="P88" i="51"/>
  <c r="X88" i="51" s="1"/>
  <c r="H88" i="51"/>
  <c r="D88" i="51"/>
  <c r="B88" i="51"/>
  <c r="X87" i="51"/>
  <c r="Z87" i="51" s="1"/>
  <c r="N87" i="51"/>
  <c r="L87" i="51"/>
  <c r="B87" i="51"/>
  <c r="T86" i="51"/>
  <c r="X86" i="51" s="1"/>
  <c r="Z86" i="51" s="1"/>
  <c r="P86" i="51"/>
  <c r="H86" i="51"/>
  <c r="D86" i="51"/>
  <c r="L86" i="51" s="1"/>
  <c r="N86" i="51" s="1"/>
  <c r="B86" i="51"/>
  <c r="Z85" i="51"/>
  <c r="X85" i="51"/>
  <c r="L85" i="51"/>
  <c r="N85" i="51" s="1"/>
  <c r="B85" i="51"/>
  <c r="Z84" i="51"/>
  <c r="X84" i="51"/>
  <c r="V84" i="51"/>
  <c r="T84" i="51"/>
  <c r="P84" i="51"/>
  <c r="H84" i="51"/>
  <c r="N84" i="51" s="1"/>
  <c r="D84" i="51"/>
  <c r="L84" i="51" s="1"/>
  <c r="B84" i="51"/>
  <c r="Z83" i="51"/>
  <c r="X83" i="51"/>
  <c r="L83" i="51"/>
  <c r="N83" i="51" s="1"/>
  <c r="B83" i="51"/>
  <c r="V82" i="51"/>
  <c r="T82" i="51"/>
  <c r="P82" i="51"/>
  <c r="H82" i="51"/>
  <c r="N82" i="51" s="1"/>
  <c r="D82" i="51"/>
  <c r="L82" i="51" s="1"/>
  <c r="B82" i="51"/>
  <c r="Z81" i="51"/>
  <c r="X81" i="51"/>
  <c r="V81" i="51"/>
  <c r="N81" i="51"/>
  <c r="L81" i="51"/>
  <c r="B81" i="51"/>
  <c r="Z80" i="51"/>
  <c r="X80" i="51"/>
  <c r="L80" i="51"/>
  <c r="N80" i="51" s="1"/>
  <c r="B80" i="51"/>
  <c r="T79" i="51"/>
  <c r="P79" i="51"/>
  <c r="L79" i="51"/>
  <c r="H79" i="51"/>
  <c r="D79" i="51"/>
  <c r="B79" i="51"/>
  <c r="Z78" i="51"/>
  <c r="X78" i="51"/>
  <c r="L78" i="51"/>
  <c r="N78" i="51" s="1"/>
  <c r="B78" i="51"/>
  <c r="T77" i="51"/>
  <c r="P77" i="51"/>
  <c r="X77" i="51" s="1"/>
  <c r="H77" i="51"/>
  <c r="D77" i="51"/>
  <c r="L77" i="51" s="1"/>
  <c r="B77" i="51"/>
  <c r="X76" i="51"/>
  <c r="Z76" i="51" s="1"/>
  <c r="N76" i="51"/>
  <c r="L76" i="51"/>
  <c r="B76" i="51"/>
  <c r="Z75" i="51"/>
  <c r="X75" i="51"/>
  <c r="T75" i="51"/>
  <c r="P75" i="51"/>
  <c r="H75" i="51"/>
  <c r="N75" i="51" s="1"/>
  <c r="D75" i="51"/>
  <c r="L75" i="51" s="1"/>
  <c r="B75" i="51"/>
  <c r="Z74" i="51"/>
  <c r="X74" i="51"/>
  <c r="N74" i="51"/>
  <c r="L74" i="51"/>
  <c r="B74" i="51"/>
  <c r="X73" i="51"/>
  <c r="V73" i="51"/>
  <c r="T73" i="51"/>
  <c r="P73" i="51"/>
  <c r="H73" i="51"/>
  <c r="D73" i="51"/>
  <c r="B73" i="51"/>
  <c r="Z72" i="51"/>
  <c r="X72" i="51"/>
  <c r="V72" i="51"/>
  <c r="L72" i="51"/>
  <c r="N72" i="51" s="1"/>
  <c r="B72" i="51"/>
  <c r="T71" i="51"/>
  <c r="P71" i="51"/>
  <c r="H71" i="51"/>
  <c r="N71" i="51" s="1"/>
  <c r="D71" i="51"/>
  <c r="L71" i="51" s="1"/>
  <c r="B71" i="51"/>
  <c r="Z70" i="51"/>
  <c r="X70" i="51"/>
  <c r="V70" i="51"/>
  <c r="N70" i="51"/>
  <c r="L70" i="51"/>
  <c r="B70" i="51"/>
  <c r="Z69" i="51"/>
  <c r="X69" i="51"/>
  <c r="N69" i="51"/>
  <c r="L69" i="51"/>
  <c r="B69" i="51"/>
  <c r="X68" i="51"/>
  <c r="Z68" i="51" s="1"/>
  <c r="N68" i="51"/>
  <c r="L68" i="51"/>
  <c r="B68" i="51"/>
  <c r="Z67" i="51"/>
  <c r="X67" i="51"/>
  <c r="N67" i="51"/>
  <c r="L67" i="51"/>
  <c r="B67" i="51"/>
  <c r="Z66" i="51"/>
  <c r="X66" i="51"/>
  <c r="V66" i="51"/>
  <c r="N66" i="51"/>
  <c r="L66" i="51"/>
  <c r="B66" i="51"/>
  <c r="Z65" i="51"/>
  <c r="X65" i="51"/>
  <c r="N65" i="51"/>
  <c r="L65" i="51"/>
  <c r="B65" i="51"/>
  <c r="X64" i="51"/>
  <c r="Z64" i="51" s="1"/>
  <c r="N64" i="51"/>
  <c r="L64" i="51"/>
  <c r="B64" i="51"/>
  <c r="Z63" i="51"/>
  <c r="X63" i="51"/>
  <c r="N63" i="51"/>
  <c r="L63" i="51"/>
  <c r="B63" i="51"/>
  <c r="X62" i="51"/>
  <c r="Z62" i="51" s="1"/>
  <c r="V62" i="51"/>
  <c r="N62" i="51"/>
  <c r="L62" i="51"/>
  <c r="B62" i="51"/>
  <c r="Z61" i="51"/>
  <c r="X61" i="51"/>
  <c r="N61" i="51"/>
  <c r="L61" i="51"/>
  <c r="B61" i="51"/>
  <c r="T60" i="51"/>
  <c r="P60" i="51"/>
  <c r="X60" i="51" s="1"/>
  <c r="H60" i="51"/>
  <c r="D60" i="51"/>
  <c r="L60" i="51" s="1"/>
  <c r="B60" i="51"/>
  <c r="X59" i="51"/>
  <c r="Z59" i="51" s="1"/>
  <c r="N59" i="51"/>
  <c r="L59" i="51"/>
  <c r="B59" i="51"/>
  <c r="Z58" i="51"/>
  <c r="X58" i="51"/>
  <c r="N58" i="51"/>
  <c r="L58" i="51"/>
  <c r="B58" i="51"/>
  <c r="X57" i="51"/>
  <c r="Z57" i="51" s="1"/>
  <c r="V57" i="51"/>
  <c r="N57" i="51"/>
  <c r="L57" i="51"/>
  <c r="B57" i="51"/>
  <c r="Z56" i="51"/>
  <c r="X56" i="51"/>
  <c r="N56" i="51"/>
  <c r="L56" i="51"/>
  <c r="B56" i="51"/>
  <c r="Z55" i="51"/>
  <c r="X55" i="51"/>
  <c r="N55" i="51"/>
  <c r="L55" i="51"/>
  <c r="B55" i="51"/>
  <c r="Z54" i="51"/>
  <c r="X54" i="51"/>
  <c r="N54" i="51"/>
  <c r="L54" i="51"/>
  <c r="B54" i="51"/>
  <c r="X53" i="51"/>
  <c r="Z53" i="51" s="1"/>
  <c r="V53" i="51"/>
  <c r="N53" i="51"/>
  <c r="L53" i="51"/>
  <c r="B53" i="51"/>
  <c r="Z52" i="51"/>
  <c r="X52" i="51"/>
  <c r="L52" i="51"/>
  <c r="N52" i="51" s="1"/>
  <c r="B52" i="51"/>
  <c r="X51" i="51"/>
  <c r="Z51" i="51" s="1"/>
  <c r="N51" i="51"/>
  <c r="L51" i="51"/>
  <c r="B51" i="51"/>
  <c r="Z50" i="51"/>
  <c r="X50" i="51"/>
  <c r="N50" i="51"/>
  <c r="L50" i="51"/>
  <c r="B50" i="51"/>
  <c r="X49" i="51"/>
  <c r="V49" i="51"/>
  <c r="T49" i="51"/>
  <c r="P49" i="51"/>
  <c r="H49" i="51"/>
  <c r="D49" i="51"/>
  <c r="B49" i="51"/>
  <c r="X48" i="51"/>
  <c r="Z48" i="51" s="1"/>
  <c r="V48" i="51"/>
  <c r="T48" i="51"/>
  <c r="P48" i="51"/>
  <c r="H48" i="51"/>
  <c r="N48" i="51" s="1"/>
  <c r="D48" i="51"/>
  <c r="L48" i="51" s="1"/>
  <c r="Z44" i="51"/>
  <c r="X44" i="51"/>
  <c r="V44" i="51"/>
  <c r="N44" i="51"/>
  <c r="L44" i="51"/>
  <c r="B44" i="51"/>
  <c r="Z43" i="51"/>
  <c r="X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V40" i="51"/>
  <c r="N40" i="51"/>
  <c r="L40" i="51"/>
  <c r="B40" i="51"/>
  <c r="Z39" i="51"/>
  <c r="X39" i="51"/>
  <c r="N39" i="51"/>
  <c r="L39" i="51"/>
  <c r="B39" i="51"/>
  <c r="Z38" i="51"/>
  <c r="X38" i="51"/>
  <c r="N38" i="51"/>
  <c r="L38" i="51"/>
  <c r="B38" i="51"/>
  <c r="Z37" i="51"/>
  <c r="X37" i="51"/>
  <c r="N37" i="51"/>
  <c r="L37" i="51"/>
  <c r="B37" i="51"/>
  <c r="Z36" i="51"/>
  <c r="X36" i="51"/>
  <c r="V36" i="51"/>
  <c r="N36" i="51"/>
  <c r="L36" i="51"/>
  <c r="B36" i="51"/>
  <c r="Z35" i="51"/>
  <c r="X35" i="51"/>
  <c r="N35" i="51"/>
  <c r="L35" i="51"/>
  <c r="B35" i="51"/>
  <c r="Z34" i="51"/>
  <c r="X34" i="51"/>
  <c r="N34" i="51"/>
  <c r="L34" i="51"/>
  <c r="B34" i="51"/>
  <c r="Z33" i="51"/>
  <c r="X33" i="51"/>
  <c r="L33" i="51"/>
  <c r="N33" i="51" s="1"/>
  <c r="B33" i="51"/>
  <c r="Z32" i="51"/>
  <c r="X32" i="51"/>
  <c r="V32" i="51"/>
  <c r="T32" i="51"/>
  <c r="T46" i="51" s="1"/>
  <c r="P32" i="51"/>
  <c r="H32" i="51"/>
  <c r="N32" i="51" s="1"/>
  <c r="D32" i="51"/>
  <c r="L32" i="51" s="1"/>
  <c r="Z30" i="51"/>
  <c r="X30" i="51"/>
  <c r="P30" i="51"/>
  <c r="N30" i="51"/>
  <c r="D30" i="51"/>
  <c r="L30" i="51" s="1"/>
  <c r="B30" i="51"/>
  <c r="Z29" i="51"/>
  <c r="X29" i="51"/>
  <c r="P29" i="51"/>
  <c r="N29" i="51"/>
  <c r="D29" i="51"/>
  <c r="L29" i="51" s="1"/>
  <c r="B29" i="51"/>
  <c r="Z28" i="51"/>
  <c r="X28" i="51"/>
  <c r="P28" i="5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X26" i="51"/>
  <c r="P26" i="51"/>
  <c r="N26" i="51"/>
  <c r="L26" i="51"/>
  <c r="D26" i="51"/>
  <c r="B26" i="51"/>
  <c r="Z25" i="51"/>
  <c r="X25" i="51"/>
  <c r="P25" i="5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X23" i="51"/>
  <c r="P23" i="51"/>
  <c r="N23" i="51"/>
  <c r="L23" i="51"/>
  <c r="D23" i="51"/>
  <c r="B23" i="51"/>
  <c r="Z22" i="51"/>
  <c r="X22" i="51"/>
  <c r="P22" i="51"/>
  <c r="N22" i="51"/>
  <c r="D22" i="51"/>
  <c r="L22" i="51" s="1"/>
  <c r="B22" i="51"/>
  <c r="Z21" i="51"/>
  <c r="P21" i="51"/>
  <c r="X21" i="51" s="1"/>
  <c r="N21" i="51"/>
  <c r="D21" i="51"/>
  <c r="L21" i="51" s="1"/>
  <c r="B21" i="51"/>
  <c r="Z20" i="51"/>
  <c r="P20" i="51"/>
  <c r="X20" i="51" s="1"/>
  <c r="N20" i="51"/>
  <c r="L20" i="51"/>
  <c r="D20" i="51"/>
  <c r="B20" i="51"/>
  <c r="Z19" i="51"/>
  <c r="X19" i="51"/>
  <c r="P19" i="51"/>
  <c r="L19" i="51"/>
  <c r="N19" i="51" s="1"/>
  <c r="D19" i="51"/>
  <c r="B19" i="51"/>
  <c r="Z18" i="51"/>
  <c r="P18" i="51"/>
  <c r="X18" i="51" s="1"/>
  <c r="N18" i="51"/>
  <c r="D18" i="51"/>
  <c r="L18" i="51" s="1"/>
  <c r="B18" i="51"/>
  <c r="Z17" i="51"/>
  <c r="P17" i="51"/>
  <c r="X17" i="51" s="1"/>
  <c r="N17" i="51"/>
  <c r="D17" i="51"/>
  <c r="L17" i="51" s="1"/>
  <c r="B17" i="51"/>
  <c r="Z16" i="51"/>
  <c r="X16" i="51"/>
  <c r="P16" i="51"/>
  <c r="N16" i="51"/>
  <c r="L16" i="51"/>
  <c r="D16" i="51"/>
  <c r="B16" i="51"/>
  <c r="Z15" i="51"/>
  <c r="P15" i="51"/>
  <c r="X15" i="51" s="1"/>
  <c r="N15" i="51"/>
  <c r="D15" i="51"/>
  <c r="L15" i="51" s="1"/>
  <c r="B15" i="51"/>
  <c r="Z14" i="51"/>
  <c r="X14" i="51"/>
  <c r="P14" i="51"/>
  <c r="N14" i="51"/>
  <c r="L14" i="51"/>
  <c r="D14" i="51"/>
  <c r="B14" i="51"/>
  <c r="X13" i="51"/>
  <c r="Z13" i="51" s="1"/>
  <c r="P13" i="51"/>
  <c r="N13" i="51"/>
  <c r="L13" i="51"/>
  <c r="D13" i="51"/>
  <c r="B13" i="51"/>
  <c r="T12" i="51"/>
  <c r="V91" i="51" s="1"/>
  <c r="H12" i="51"/>
  <c r="J79" i="51" s="1"/>
  <c r="D4" i="51"/>
  <c r="Z73" i="48"/>
  <c r="X73" i="48"/>
  <c r="N73" i="48"/>
  <c r="L73" i="48"/>
  <c r="Z69" i="48"/>
  <c r="X69" i="48"/>
  <c r="P69" i="48"/>
  <c r="D69" i="48"/>
  <c r="L69" i="48" s="1"/>
  <c r="N69" i="48" s="1"/>
  <c r="B69" i="48"/>
  <c r="Z68" i="48"/>
  <c r="X68" i="48"/>
  <c r="V68" i="48"/>
  <c r="T68" i="48"/>
  <c r="P68" i="48"/>
  <c r="H68" i="48"/>
  <c r="N68" i="48" s="1"/>
  <c r="D68" i="48"/>
  <c r="L68" i="48" s="1"/>
  <c r="Z66" i="48"/>
  <c r="X66" i="48"/>
  <c r="L66" i="48"/>
  <c r="N66" i="48" s="1"/>
  <c r="B66" i="48"/>
  <c r="T65" i="48"/>
  <c r="P65" i="48"/>
  <c r="H65" i="48"/>
  <c r="D65" i="48"/>
  <c r="L65" i="48" s="1"/>
  <c r="N65" i="48" s="1"/>
  <c r="B65" i="48"/>
  <c r="Z64" i="48"/>
  <c r="X64" i="48"/>
  <c r="N64" i="48"/>
  <c r="L64" i="48"/>
  <c r="B64" i="48"/>
  <c r="X63" i="48"/>
  <c r="Z63" i="48" s="1"/>
  <c r="L63" i="48"/>
  <c r="N63" i="48" s="1"/>
  <c r="B63" i="48"/>
  <c r="X62" i="48"/>
  <c r="T62" i="48"/>
  <c r="Z62" i="48" s="1"/>
  <c r="P62" i="48"/>
  <c r="H62" i="48"/>
  <c r="D62" i="48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V59" i="48"/>
  <c r="N59" i="48"/>
  <c r="L59" i="48"/>
  <c r="B59" i="48"/>
  <c r="Z58" i="48"/>
  <c r="X58" i="48"/>
  <c r="N58" i="48"/>
  <c r="L58" i="48"/>
  <c r="B58" i="48"/>
  <c r="T57" i="48"/>
  <c r="P57" i="48"/>
  <c r="X57" i="48" s="1"/>
  <c r="H57" i="48"/>
  <c r="D57" i="48"/>
  <c r="B57" i="48"/>
  <c r="Z56" i="48"/>
  <c r="X56" i="48"/>
  <c r="L56" i="48"/>
  <c r="N56" i="48" s="1"/>
  <c r="B56" i="48"/>
  <c r="T55" i="48"/>
  <c r="P55" i="48"/>
  <c r="X55" i="48" s="1"/>
  <c r="Z55" i="48" s="1"/>
  <c r="H55" i="48"/>
  <c r="D55" i="48"/>
  <c r="L55" i="48" s="1"/>
  <c r="B55" i="48"/>
  <c r="X54" i="48"/>
  <c r="Z54" i="48" s="1"/>
  <c r="N54" i="48"/>
  <c r="L54" i="48"/>
  <c r="B54" i="48"/>
  <c r="Z53" i="48"/>
  <c r="X53" i="48"/>
  <c r="V53" i="48"/>
  <c r="T53" i="48"/>
  <c r="P53" i="48"/>
  <c r="H53" i="48"/>
  <c r="D53" i="48"/>
  <c r="L53" i="48" s="1"/>
  <c r="B53" i="48"/>
  <c r="Z52" i="48"/>
  <c r="X52" i="48"/>
  <c r="N52" i="48"/>
  <c r="L52" i="48"/>
  <c r="B52" i="48"/>
  <c r="V51" i="48"/>
  <c r="T51" i="48"/>
  <c r="P51" i="48"/>
  <c r="H51" i="48"/>
  <c r="N51" i="48" s="1"/>
  <c r="D51" i="48"/>
  <c r="L51" i="48" s="1"/>
  <c r="B51" i="48"/>
  <c r="X50" i="48"/>
  <c r="Z50" i="48" s="1"/>
  <c r="L50" i="48"/>
  <c r="N50" i="48" s="1"/>
  <c r="B50" i="48"/>
  <c r="Z49" i="48"/>
  <c r="X49" i="48"/>
  <c r="R49" i="48"/>
  <c r="N49" i="48"/>
  <c r="L49" i="48"/>
  <c r="B49" i="48"/>
  <c r="T48" i="48"/>
  <c r="Z48" i="48" s="1"/>
  <c r="P48" i="48"/>
  <c r="X48" i="48" s="1"/>
  <c r="H48" i="48"/>
  <c r="L48" i="48" s="1"/>
  <c r="N48" i="48" s="1"/>
  <c r="D48" i="48"/>
  <c r="B48" i="48"/>
  <c r="X47" i="48"/>
  <c r="Z47" i="48" s="1"/>
  <c r="L47" i="48"/>
  <c r="N47" i="48" s="1"/>
  <c r="B47" i="48"/>
  <c r="X46" i="48"/>
  <c r="Z46" i="48" s="1"/>
  <c r="T46" i="48"/>
  <c r="P46" i="48"/>
  <c r="H46" i="48"/>
  <c r="D46" i="48"/>
  <c r="L46" i="48" s="1"/>
  <c r="B46" i="48"/>
  <c r="Z45" i="48"/>
  <c r="X45" i="48"/>
  <c r="L45" i="48"/>
  <c r="N45" i="48" s="1"/>
  <c r="B45" i="48"/>
  <c r="Z44" i="48"/>
  <c r="X44" i="48"/>
  <c r="T44" i="48"/>
  <c r="P44" i="48"/>
  <c r="H44" i="48"/>
  <c r="D44" i="48"/>
  <c r="L44" i="48" s="1"/>
  <c r="N44" i="48" s="1"/>
  <c r="B44" i="48"/>
  <c r="Z43" i="48"/>
  <c r="X43" i="48"/>
  <c r="L43" i="48"/>
  <c r="N43" i="48" s="1"/>
  <c r="B43" i="48"/>
  <c r="V42" i="48"/>
  <c r="T42" i="48"/>
  <c r="X42" i="48" s="1"/>
  <c r="Z42" i="48" s="1"/>
  <c r="P42" i="48"/>
  <c r="H42" i="48"/>
  <c r="D42" i="48"/>
  <c r="L42" i="48" s="1"/>
  <c r="B42" i="48"/>
  <c r="Z41" i="48"/>
  <c r="X41" i="48"/>
  <c r="V41" i="48"/>
  <c r="N41" i="48"/>
  <c r="L41" i="48"/>
  <c r="B41" i="48"/>
  <c r="Z40" i="48"/>
  <c r="X40" i="48"/>
  <c r="R40" i="48"/>
  <c r="N40" i="48"/>
  <c r="L40" i="48"/>
  <c r="B40" i="48"/>
  <c r="X39" i="48"/>
  <c r="Z39" i="48" s="1"/>
  <c r="L39" i="48"/>
  <c r="N39" i="48" s="1"/>
  <c r="B39" i="48"/>
  <c r="X38" i="48"/>
  <c r="Z38" i="48" s="1"/>
  <c r="N38" i="48"/>
  <c r="L38" i="48"/>
  <c r="B38" i="48"/>
  <c r="Z37" i="48"/>
  <c r="X37" i="48"/>
  <c r="N37" i="48"/>
  <c r="L37" i="48"/>
  <c r="B37" i="48"/>
  <c r="Z36" i="48"/>
  <c r="X36" i="48"/>
  <c r="V36" i="48"/>
  <c r="N36" i="48"/>
  <c r="L36" i="48"/>
  <c r="B36" i="48"/>
  <c r="X35" i="48"/>
  <c r="Z35" i="48" s="1"/>
  <c r="L35" i="48"/>
  <c r="N35" i="48" s="1"/>
  <c r="B35" i="48"/>
  <c r="Z34" i="48"/>
  <c r="X34" i="48"/>
  <c r="N34" i="48"/>
  <c r="L34" i="48"/>
  <c r="B34" i="48"/>
  <c r="X33" i="48"/>
  <c r="Z33" i="48" s="1"/>
  <c r="V33" i="48"/>
  <c r="N33" i="48"/>
  <c r="L33" i="48"/>
  <c r="B33" i="48"/>
  <c r="X32" i="48"/>
  <c r="Z32" i="48" s="1"/>
  <c r="V32" i="48"/>
  <c r="N32" i="48"/>
  <c r="L32" i="48"/>
  <c r="B32" i="48"/>
  <c r="T31" i="48"/>
  <c r="P31" i="48"/>
  <c r="X31" i="48" s="1"/>
  <c r="N31" i="48"/>
  <c r="L31" i="48"/>
  <c r="H31" i="48"/>
  <c r="D31" i="48"/>
  <c r="B31" i="48"/>
  <c r="X30" i="48"/>
  <c r="Z30" i="48" s="1"/>
  <c r="N30" i="48"/>
  <c r="L30" i="48"/>
  <c r="B30" i="48"/>
  <c r="Z29" i="48"/>
  <c r="X29" i="48"/>
  <c r="N29" i="48"/>
  <c r="L29" i="48"/>
  <c r="B29" i="48"/>
  <c r="X28" i="48"/>
  <c r="Z28" i="48" s="1"/>
  <c r="N28" i="48"/>
  <c r="L28" i="48"/>
  <c r="B28" i="48"/>
  <c r="Z27" i="48"/>
  <c r="X27" i="48"/>
  <c r="N27" i="48"/>
  <c r="L27" i="48"/>
  <c r="B27" i="48"/>
  <c r="Z26" i="48"/>
  <c r="X26" i="48"/>
  <c r="N26" i="48"/>
  <c r="L26" i="48"/>
  <c r="J26" i="48"/>
  <c r="B26" i="48"/>
  <c r="Z25" i="48"/>
  <c r="X25" i="48"/>
  <c r="N25" i="48"/>
  <c r="L25" i="48"/>
  <c r="B25" i="48"/>
  <c r="Z24" i="48"/>
  <c r="X24" i="48"/>
  <c r="N24" i="48"/>
  <c r="L24" i="48"/>
  <c r="B24" i="48"/>
  <c r="X23" i="48"/>
  <c r="Z23" i="48" s="1"/>
  <c r="N23" i="48"/>
  <c r="L23" i="48"/>
  <c r="B23" i="48"/>
  <c r="X22" i="48"/>
  <c r="Z22" i="48" s="1"/>
  <c r="N22" i="48"/>
  <c r="L22" i="48"/>
  <c r="J22" i="48"/>
  <c r="B22" i="48"/>
  <c r="Z21" i="48"/>
  <c r="X21" i="48"/>
  <c r="N21" i="48"/>
  <c r="L21" i="48"/>
  <c r="B21" i="48"/>
  <c r="V20" i="48"/>
  <c r="T20" i="48"/>
  <c r="P20" i="48"/>
  <c r="L20" i="48"/>
  <c r="N20" i="48" s="1"/>
  <c r="H20" i="48"/>
  <c r="D20" i="48"/>
  <c r="B20" i="48"/>
  <c r="X19" i="48"/>
  <c r="V19" i="48"/>
  <c r="T19" i="48"/>
  <c r="Z19" i="48" s="1"/>
  <c r="P19" i="48"/>
  <c r="L19" i="48"/>
  <c r="H19" i="48"/>
  <c r="N19" i="48" s="1"/>
  <c r="D19" i="48"/>
  <c r="T17" i="48"/>
  <c r="H17" i="48"/>
  <c r="H71" i="48" s="1"/>
  <c r="Z15" i="48"/>
  <c r="V15" i="48"/>
  <c r="T15" i="48"/>
  <c r="R15" i="48"/>
  <c r="P15" i="48"/>
  <c r="X15" i="48" s="1"/>
  <c r="N15" i="48"/>
  <c r="H15" i="48"/>
  <c r="D15" i="48"/>
  <c r="L15" i="48" s="1"/>
  <c r="P13" i="48"/>
  <c r="P12" i="48" s="1"/>
  <c r="D13" i="48"/>
  <c r="B13" i="48"/>
  <c r="T12" i="48"/>
  <c r="V66" i="48" s="1"/>
  <c r="H12" i="48"/>
  <c r="J48" i="48" s="1"/>
  <c r="D4" i="48"/>
  <c r="X103" i="45"/>
  <c r="Z103" i="45" s="1"/>
  <c r="V103" i="45"/>
  <c r="N103" i="45"/>
  <c r="L103" i="45"/>
  <c r="Z99" i="45"/>
  <c r="T99" i="45"/>
  <c r="P99" i="45"/>
  <c r="X99" i="45" s="1"/>
  <c r="N99" i="45"/>
  <c r="L99" i="45"/>
  <c r="H99" i="45"/>
  <c r="D99" i="45"/>
  <c r="Z97" i="45"/>
  <c r="X97" i="45"/>
  <c r="L97" i="45"/>
  <c r="N97" i="45" s="1"/>
  <c r="B97" i="45"/>
  <c r="T96" i="45"/>
  <c r="P96" i="45"/>
  <c r="X96" i="45" s="1"/>
  <c r="J96" i="45"/>
  <c r="H96" i="45"/>
  <c r="D96" i="45"/>
  <c r="B96" i="45"/>
  <c r="Z95" i="45"/>
  <c r="X95" i="45"/>
  <c r="N95" i="45"/>
  <c r="L95" i="45"/>
  <c r="B95" i="45"/>
  <c r="T94" i="45"/>
  <c r="P94" i="45"/>
  <c r="X94" i="45" s="1"/>
  <c r="H94" i="45"/>
  <c r="F94" i="45"/>
  <c r="D94" i="45"/>
  <c r="L94" i="45" s="1"/>
  <c r="N94" i="45" s="1"/>
  <c r="B94" i="45"/>
  <c r="Z93" i="45"/>
  <c r="X93" i="45"/>
  <c r="N93" i="45"/>
  <c r="L93" i="45"/>
  <c r="B93" i="45"/>
  <c r="Z92" i="45"/>
  <c r="X92" i="45"/>
  <c r="L92" i="45"/>
  <c r="N92" i="45" s="1"/>
  <c r="B92" i="45"/>
  <c r="T91" i="45"/>
  <c r="P91" i="45"/>
  <c r="H91" i="45"/>
  <c r="D91" i="45"/>
  <c r="L91" i="45" s="1"/>
  <c r="B91" i="45"/>
  <c r="X90" i="45"/>
  <c r="Z90" i="45" s="1"/>
  <c r="V90" i="45"/>
  <c r="R90" i="45"/>
  <c r="N90" i="45"/>
  <c r="L90" i="45"/>
  <c r="B90" i="45"/>
  <c r="Z89" i="45"/>
  <c r="X89" i="45"/>
  <c r="L89" i="45"/>
  <c r="N89" i="45" s="1"/>
  <c r="B89" i="45"/>
  <c r="X88" i="45"/>
  <c r="Z88" i="45" s="1"/>
  <c r="L88" i="45"/>
  <c r="N88" i="45" s="1"/>
  <c r="B88" i="45"/>
  <c r="Z87" i="45"/>
  <c r="X87" i="45"/>
  <c r="N87" i="45"/>
  <c r="L87" i="45"/>
  <c r="B87" i="45"/>
  <c r="X86" i="45"/>
  <c r="Z86" i="45" s="1"/>
  <c r="V86" i="45"/>
  <c r="N86" i="45"/>
  <c r="L86" i="45"/>
  <c r="B86" i="45"/>
  <c r="Z85" i="45"/>
  <c r="X85" i="45"/>
  <c r="L85" i="45"/>
  <c r="N85" i="45" s="1"/>
  <c r="B85" i="45"/>
  <c r="X84" i="45"/>
  <c r="Z84" i="45" s="1"/>
  <c r="L84" i="45"/>
  <c r="N84" i="45" s="1"/>
  <c r="B84" i="45"/>
  <c r="Z83" i="45"/>
  <c r="X83" i="45"/>
  <c r="N83" i="45"/>
  <c r="L83" i="45"/>
  <c r="B83" i="45"/>
  <c r="X82" i="45"/>
  <c r="Z82" i="45" s="1"/>
  <c r="V82" i="45"/>
  <c r="R82" i="45"/>
  <c r="N82" i="45"/>
  <c r="L82" i="45"/>
  <c r="B82" i="45"/>
  <c r="Z81" i="45"/>
  <c r="X81" i="45"/>
  <c r="L81" i="45"/>
  <c r="N81" i="45" s="1"/>
  <c r="B81" i="45"/>
  <c r="T80" i="45"/>
  <c r="P80" i="45"/>
  <c r="X80" i="45" s="1"/>
  <c r="H80" i="45"/>
  <c r="D80" i="45"/>
  <c r="L80" i="45" s="1"/>
  <c r="B80" i="45"/>
  <c r="Z79" i="45"/>
  <c r="X79" i="45"/>
  <c r="N79" i="45"/>
  <c r="L79" i="45"/>
  <c r="B79" i="45"/>
  <c r="T78" i="45"/>
  <c r="Z78" i="45" s="1"/>
  <c r="P78" i="45"/>
  <c r="X78" i="45" s="1"/>
  <c r="N78" i="45"/>
  <c r="H78" i="45"/>
  <c r="D78" i="45"/>
  <c r="L78" i="45" s="1"/>
  <c r="B78" i="45"/>
  <c r="Z77" i="45"/>
  <c r="X77" i="45"/>
  <c r="N77" i="45"/>
  <c r="L77" i="45"/>
  <c r="B77" i="45"/>
  <c r="X76" i="45"/>
  <c r="Z76" i="45" s="1"/>
  <c r="L76" i="45"/>
  <c r="N76" i="45" s="1"/>
  <c r="B76" i="45"/>
  <c r="Z75" i="45"/>
  <c r="X75" i="45"/>
  <c r="N75" i="45"/>
  <c r="L75" i="45"/>
  <c r="B75" i="45"/>
  <c r="X74" i="45"/>
  <c r="Z74" i="45" s="1"/>
  <c r="L74" i="45"/>
  <c r="N74" i="45" s="1"/>
  <c r="B74" i="45"/>
  <c r="T73" i="45"/>
  <c r="P73" i="45"/>
  <c r="X73" i="45" s="1"/>
  <c r="H73" i="45"/>
  <c r="D73" i="45"/>
  <c r="B73" i="45"/>
  <c r="X72" i="45"/>
  <c r="Z72" i="45" s="1"/>
  <c r="L72" i="45"/>
  <c r="N72" i="45" s="1"/>
  <c r="B72" i="45"/>
  <c r="Z71" i="45"/>
  <c r="X71" i="45"/>
  <c r="N71" i="45"/>
  <c r="L71" i="45"/>
  <c r="B71" i="45"/>
  <c r="X70" i="45"/>
  <c r="Z70" i="45" s="1"/>
  <c r="V70" i="45"/>
  <c r="N70" i="45"/>
  <c r="L70" i="45"/>
  <c r="B70" i="45"/>
  <c r="Z69" i="45"/>
  <c r="X69" i="45"/>
  <c r="L69" i="45"/>
  <c r="N69" i="45" s="1"/>
  <c r="J69" i="45"/>
  <c r="B69" i="45"/>
  <c r="T68" i="45"/>
  <c r="P68" i="45"/>
  <c r="X68" i="45" s="1"/>
  <c r="H68" i="45"/>
  <c r="D68" i="45"/>
  <c r="L68" i="45" s="1"/>
  <c r="B68" i="45"/>
  <c r="Z67" i="45"/>
  <c r="X67" i="45"/>
  <c r="N67" i="45"/>
  <c r="L67" i="45"/>
  <c r="B67" i="45"/>
  <c r="T66" i="45"/>
  <c r="Z66" i="45" s="1"/>
  <c r="P66" i="45"/>
  <c r="X66" i="45" s="1"/>
  <c r="H66" i="45"/>
  <c r="D66" i="45"/>
  <c r="L66" i="45" s="1"/>
  <c r="N66" i="45" s="1"/>
  <c r="B66" i="45"/>
  <c r="Z65" i="45"/>
  <c r="X65" i="45"/>
  <c r="N65" i="45"/>
  <c r="L65" i="45"/>
  <c r="B65" i="45"/>
  <c r="X64" i="45"/>
  <c r="Z64" i="45" s="1"/>
  <c r="T64" i="45"/>
  <c r="P64" i="45"/>
  <c r="H64" i="45"/>
  <c r="D64" i="45"/>
  <c r="B64" i="45"/>
  <c r="Z63" i="45"/>
  <c r="X63" i="45"/>
  <c r="N63" i="45"/>
  <c r="L63" i="45"/>
  <c r="B63" i="45"/>
  <c r="T62" i="45"/>
  <c r="P62" i="45"/>
  <c r="X62" i="45" s="1"/>
  <c r="H62" i="45"/>
  <c r="N62" i="45" s="1"/>
  <c r="D62" i="45"/>
  <c r="L62" i="45" s="1"/>
  <c r="B62" i="45"/>
  <c r="X61" i="45"/>
  <c r="Z61" i="45" s="1"/>
  <c r="V61" i="45"/>
  <c r="N61" i="45"/>
  <c r="L61" i="45"/>
  <c r="B61" i="45"/>
  <c r="T60" i="45"/>
  <c r="P60" i="45"/>
  <c r="H60" i="45"/>
  <c r="N60" i="45" s="1"/>
  <c r="D60" i="45"/>
  <c r="L60" i="45" s="1"/>
  <c r="B60" i="45"/>
  <c r="Z59" i="45"/>
  <c r="X59" i="45"/>
  <c r="N59" i="45"/>
  <c r="L59" i="45"/>
  <c r="B59" i="45"/>
  <c r="T58" i="45"/>
  <c r="P58" i="45"/>
  <c r="N58" i="45"/>
  <c r="L58" i="45"/>
  <c r="H58" i="45"/>
  <c r="D58" i="45"/>
  <c r="B58" i="45"/>
  <c r="Z57" i="45"/>
  <c r="X57" i="45"/>
  <c r="L57" i="45"/>
  <c r="N57" i="45" s="1"/>
  <c r="B57" i="45"/>
  <c r="T56" i="45"/>
  <c r="P56" i="45"/>
  <c r="X56" i="45" s="1"/>
  <c r="H56" i="45"/>
  <c r="D56" i="45"/>
  <c r="B56" i="45"/>
  <c r="Z55" i="45"/>
  <c r="X55" i="45"/>
  <c r="N55" i="45"/>
  <c r="L55" i="45"/>
  <c r="B55" i="45"/>
  <c r="T54" i="45"/>
  <c r="P54" i="45"/>
  <c r="X54" i="45" s="1"/>
  <c r="H54" i="45"/>
  <c r="F54" i="45"/>
  <c r="D54" i="45"/>
  <c r="L54" i="45" s="1"/>
  <c r="N54" i="45" s="1"/>
  <c r="B54" i="45"/>
  <c r="Z53" i="45"/>
  <c r="X53" i="45"/>
  <c r="N53" i="45"/>
  <c r="L53" i="45"/>
  <c r="B53" i="45"/>
  <c r="Z52" i="45"/>
  <c r="X52" i="45"/>
  <c r="T52" i="45"/>
  <c r="P52" i="45"/>
  <c r="H52" i="45"/>
  <c r="D52" i="45"/>
  <c r="B52" i="45"/>
  <c r="Z51" i="45"/>
  <c r="X51" i="45"/>
  <c r="N51" i="45"/>
  <c r="L51" i="45"/>
  <c r="B51" i="45"/>
  <c r="V50" i="45"/>
  <c r="T50" i="45"/>
  <c r="P50" i="45"/>
  <c r="H50" i="45"/>
  <c r="D50" i="45"/>
  <c r="L50" i="45" s="1"/>
  <c r="B50" i="45"/>
  <c r="X49" i="45"/>
  <c r="Z49" i="45" s="1"/>
  <c r="V49" i="45"/>
  <c r="N49" i="45"/>
  <c r="L49" i="45"/>
  <c r="B49" i="45"/>
  <c r="T48" i="45"/>
  <c r="R48" i="45"/>
  <c r="P48" i="45"/>
  <c r="X48" i="45" s="1"/>
  <c r="Z48" i="45" s="1"/>
  <c r="H48" i="45"/>
  <c r="D48" i="45"/>
  <c r="L48" i="45" s="1"/>
  <c r="B48" i="45"/>
  <c r="Z47" i="45"/>
  <c r="X47" i="45"/>
  <c r="N47" i="45"/>
  <c r="L47" i="45"/>
  <c r="B47" i="45"/>
  <c r="Z46" i="45"/>
  <c r="X46" i="45"/>
  <c r="N46" i="45"/>
  <c r="L46" i="45"/>
  <c r="J46" i="45"/>
  <c r="F46" i="45"/>
  <c r="B46" i="45"/>
  <c r="Z45" i="45"/>
  <c r="X45" i="45"/>
  <c r="N45" i="45"/>
  <c r="L45" i="45"/>
  <c r="B45" i="45"/>
  <c r="X44" i="45"/>
  <c r="Z44" i="45" s="1"/>
  <c r="N44" i="45"/>
  <c r="L44" i="45"/>
  <c r="B44" i="45"/>
  <c r="Z43" i="45"/>
  <c r="X43" i="45"/>
  <c r="N43" i="45"/>
  <c r="L43" i="45"/>
  <c r="B43" i="45"/>
  <c r="X42" i="45"/>
  <c r="Z42" i="45" s="1"/>
  <c r="L42" i="45"/>
  <c r="N42" i="45" s="1"/>
  <c r="J42" i="45"/>
  <c r="B42" i="45"/>
  <c r="Z41" i="45"/>
  <c r="X41" i="45"/>
  <c r="N41" i="45"/>
  <c r="L41" i="45"/>
  <c r="B41" i="45"/>
  <c r="Z40" i="45"/>
  <c r="X40" i="45"/>
  <c r="N40" i="45"/>
  <c r="L40" i="45"/>
  <c r="B40" i="45"/>
  <c r="Z39" i="45"/>
  <c r="X39" i="45"/>
  <c r="R39" i="45"/>
  <c r="N39" i="45"/>
  <c r="L39" i="45"/>
  <c r="B39" i="45"/>
  <c r="Z38" i="45"/>
  <c r="X38" i="45"/>
  <c r="N38" i="45"/>
  <c r="L38" i="45"/>
  <c r="B38" i="45"/>
  <c r="T37" i="45"/>
  <c r="P37" i="45"/>
  <c r="X37" i="45" s="1"/>
  <c r="H37" i="45"/>
  <c r="D37" i="45"/>
  <c r="B37" i="45"/>
  <c r="X36" i="45"/>
  <c r="Z36" i="45" s="1"/>
  <c r="L36" i="45"/>
  <c r="N36" i="45" s="1"/>
  <c r="B36" i="45"/>
  <c r="Z35" i="45"/>
  <c r="X35" i="45"/>
  <c r="N35" i="45"/>
  <c r="L35" i="45"/>
  <c r="B35" i="45"/>
  <c r="X34" i="45"/>
  <c r="Z34" i="45" s="1"/>
  <c r="V34" i="45"/>
  <c r="N34" i="45"/>
  <c r="L34" i="45"/>
  <c r="B34" i="45"/>
  <c r="Z33" i="45"/>
  <c r="X33" i="45"/>
  <c r="N33" i="45"/>
  <c r="L33" i="45"/>
  <c r="J33" i="45"/>
  <c r="B33" i="45"/>
  <c r="Z32" i="45"/>
  <c r="X32" i="45"/>
  <c r="N32" i="45"/>
  <c r="L32" i="45"/>
  <c r="B32" i="45"/>
  <c r="Z31" i="45"/>
  <c r="X31" i="45"/>
  <c r="N31" i="45"/>
  <c r="L31" i="45"/>
  <c r="B31" i="45"/>
  <c r="X30" i="45"/>
  <c r="Z30" i="45" s="1"/>
  <c r="V30" i="45"/>
  <c r="R30" i="45"/>
  <c r="N30" i="45"/>
  <c r="L30" i="45"/>
  <c r="B30" i="45"/>
  <c r="Z29" i="45"/>
  <c r="X29" i="45"/>
  <c r="L29" i="45"/>
  <c r="N29" i="45" s="1"/>
  <c r="B29" i="45"/>
  <c r="X28" i="45"/>
  <c r="Z28" i="45" s="1"/>
  <c r="L28" i="45"/>
  <c r="N28" i="45" s="1"/>
  <c r="B28" i="45"/>
  <c r="Z27" i="45"/>
  <c r="X27" i="45"/>
  <c r="N27" i="45"/>
  <c r="L27" i="45"/>
  <c r="B27" i="45"/>
  <c r="T26" i="45"/>
  <c r="P26" i="45"/>
  <c r="X26" i="45" s="1"/>
  <c r="H26" i="45"/>
  <c r="N26" i="45" s="1"/>
  <c r="D26" i="45"/>
  <c r="L26" i="45" s="1"/>
  <c r="B26" i="45"/>
  <c r="X25" i="45"/>
  <c r="V25" i="45"/>
  <c r="T25" i="45"/>
  <c r="P25" i="45"/>
  <c r="H25" i="45"/>
  <c r="D25" i="45"/>
  <c r="L25" i="45" s="1"/>
  <c r="N25" i="45" s="1"/>
  <c r="V23" i="45"/>
  <c r="T23" i="45"/>
  <c r="T101" i="45" s="1"/>
  <c r="Z21" i="45"/>
  <c r="X21" i="45"/>
  <c r="V21" i="45"/>
  <c r="N21" i="45"/>
  <c r="L21" i="45"/>
  <c r="B21" i="45"/>
  <c r="Z20" i="45"/>
  <c r="X20" i="45"/>
  <c r="N20" i="45"/>
  <c r="L20" i="45"/>
  <c r="B20" i="45"/>
  <c r="Z19" i="45"/>
  <c r="X19" i="45"/>
  <c r="N19" i="45"/>
  <c r="L19" i="45"/>
  <c r="F19" i="45"/>
  <c r="B19" i="45"/>
  <c r="T18" i="45"/>
  <c r="P18" i="45"/>
  <c r="X18" i="45" s="1"/>
  <c r="Z18" i="45" s="1"/>
  <c r="H18" i="45"/>
  <c r="D18" i="45"/>
  <c r="L18" i="45" s="1"/>
  <c r="N18" i="45" s="1"/>
  <c r="Z16" i="45"/>
  <c r="X16" i="45"/>
  <c r="P16" i="45"/>
  <c r="N16" i="45"/>
  <c r="D16" i="45"/>
  <c r="L16" i="45" s="1"/>
  <c r="B16" i="45"/>
  <c r="Z15" i="45"/>
  <c r="X15" i="45"/>
  <c r="P15" i="45"/>
  <c r="N15" i="45"/>
  <c r="L15" i="45"/>
  <c r="D15" i="45"/>
  <c r="B15" i="45"/>
  <c r="X14" i="45"/>
  <c r="Z14" i="45" s="1"/>
  <c r="P14" i="45"/>
  <c r="D14" i="45"/>
  <c r="L14" i="45" s="1"/>
  <c r="N14" i="45" s="1"/>
  <c r="B14" i="45"/>
  <c r="Z13" i="45"/>
  <c r="X13" i="45"/>
  <c r="P13" i="45"/>
  <c r="P12" i="45" s="1"/>
  <c r="N13" i="45"/>
  <c r="L13" i="45"/>
  <c r="D13" i="45"/>
  <c r="B13" i="45"/>
  <c r="T12" i="45"/>
  <c r="V87" i="45" s="1"/>
  <c r="H12" i="45"/>
  <c r="J85" i="45" s="1"/>
  <c r="D12" i="45"/>
  <c r="F67" i="45" s="1"/>
  <c r="D4" i="45"/>
  <c r="Z122" i="42"/>
  <c r="X122" i="42"/>
  <c r="N122" i="42"/>
  <c r="L122" i="42"/>
  <c r="Z118" i="42"/>
  <c r="P118" i="42"/>
  <c r="X118" i="42" s="1"/>
  <c r="N118" i="42"/>
  <c r="L118" i="42"/>
  <c r="F118" i="42"/>
  <c r="D118" i="42"/>
  <c r="B118" i="42"/>
  <c r="X117" i="42"/>
  <c r="Z117" i="42" s="1"/>
  <c r="P117" i="42"/>
  <c r="D117" i="42"/>
  <c r="L117" i="42" s="1"/>
  <c r="N117" i="42" s="1"/>
  <c r="B117" i="42"/>
  <c r="X116" i="42"/>
  <c r="Z116" i="42" s="1"/>
  <c r="P116" i="42"/>
  <c r="L116" i="42"/>
  <c r="N116" i="42" s="1"/>
  <c r="D116" i="42"/>
  <c r="B116" i="42"/>
  <c r="P115" i="42"/>
  <c r="X115" i="42" s="1"/>
  <c r="Z115" i="42" s="1"/>
  <c r="D115" i="42"/>
  <c r="L115" i="42" s="1"/>
  <c r="N115" i="42" s="1"/>
  <c r="B115" i="42"/>
  <c r="T114" i="42"/>
  <c r="H114" i="42"/>
  <c r="D114" i="42"/>
  <c r="L114" i="42" s="1"/>
  <c r="Z112" i="42"/>
  <c r="X112" i="42"/>
  <c r="N112" i="42"/>
  <c r="L112" i="42"/>
  <c r="B112" i="42"/>
  <c r="V111" i="42"/>
  <c r="T111" i="42"/>
  <c r="P111" i="42"/>
  <c r="H111" i="42"/>
  <c r="D111" i="42"/>
  <c r="L111" i="42" s="1"/>
  <c r="N111" i="42" s="1"/>
  <c r="B111" i="42"/>
  <c r="Z110" i="42"/>
  <c r="X110" i="42"/>
  <c r="N110" i="42"/>
  <c r="L110" i="42"/>
  <c r="B110" i="42"/>
  <c r="Z109" i="42"/>
  <c r="X109" i="42"/>
  <c r="N109" i="42"/>
  <c r="L109" i="42"/>
  <c r="B109" i="42"/>
  <c r="Z108" i="42"/>
  <c r="X108" i="42"/>
  <c r="N108" i="42"/>
  <c r="L108" i="42"/>
  <c r="B108" i="42"/>
  <c r="T107" i="42"/>
  <c r="Z107" i="42" s="1"/>
  <c r="P107" i="42"/>
  <c r="H107" i="42"/>
  <c r="N107" i="42" s="1"/>
  <c r="D107" i="42"/>
  <c r="L107" i="42" s="1"/>
  <c r="B107" i="42"/>
  <c r="Z106" i="42"/>
  <c r="X106" i="42"/>
  <c r="N106" i="42"/>
  <c r="L106" i="42"/>
  <c r="B106" i="42"/>
  <c r="Z105" i="42"/>
  <c r="T105" i="42"/>
  <c r="P105" i="42"/>
  <c r="X105" i="42" s="1"/>
  <c r="N105" i="42"/>
  <c r="H105" i="42"/>
  <c r="D105" i="42"/>
  <c r="L105" i="42" s="1"/>
  <c r="B105" i="42"/>
  <c r="Z104" i="42"/>
  <c r="X104" i="42"/>
  <c r="N104" i="42"/>
  <c r="L104" i="42"/>
  <c r="B104" i="42"/>
  <c r="X103" i="42"/>
  <c r="Z103" i="42" s="1"/>
  <c r="V103" i="42"/>
  <c r="N103" i="42"/>
  <c r="L103" i="42"/>
  <c r="B103" i="42"/>
  <c r="T102" i="42"/>
  <c r="P102" i="42"/>
  <c r="X102" i="42" s="1"/>
  <c r="Z102" i="42" s="1"/>
  <c r="H102" i="42"/>
  <c r="D102" i="42"/>
  <c r="B102" i="42"/>
  <c r="X101" i="42"/>
  <c r="Z101" i="42" s="1"/>
  <c r="N101" i="42"/>
  <c r="L101" i="42"/>
  <c r="B101" i="42"/>
  <c r="X100" i="42"/>
  <c r="Z100" i="42" s="1"/>
  <c r="N100" i="42"/>
  <c r="L100" i="42"/>
  <c r="B100" i="42"/>
  <c r="Z99" i="42"/>
  <c r="X99" i="42"/>
  <c r="N99" i="42"/>
  <c r="L99" i="42"/>
  <c r="B99" i="42"/>
  <c r="Z98" i="42"/>
  <c r="X98" i="42"/>
  <c r="V98" i="42"/>
  <c r="N98" i="42"/>
  <c r="L98" i="42"/>
  <c r="B98" i="42"/>
  <c r="Z97" i="42"/>
  <c r="X97" i="42"/>
  <c r="N97" i="42"/>
  <c r="L97" i="42"/>
  <c r="B97" i="42"/>
  <c r="X96" i="42"/>
  <c r="Z96" i="42" s="1"/>
  <c r="N96" i="42"/>
  <c r="L96" i="42"/>
  <c r="B96" i="42"/>
  <c r="X95" i="42"/>
  <c r="Z95" i="42" s="1"/>
  <c r="N95" i="42"/>
  <c r="L95" i="42"/>
  <c r="B95" i="42"/>
  <c r="X94" i="42"/>
  <c r="Z94" i="42" s="1"/>
  <c r="V94" i="42"/>
  <c r="L94" i="42"/>
  <c r="N94" i="42" s="1"/>
  <c r="B94" i="42"/>
  <c r="X93" i="42"/>
  <c r="Z93" i="42" s="1"/>
  <c r="L93" i="42"/>
  <c r="N93" i="42" s="1"/>
  <c r="B93" i="42"/>
  <c r="Z92" i="42"/>
  <c r="X92" i="42"/>
  <c r="N92" i="42"/>
  <c r="L92" i="42"/>
  <c r="B92" i="42"/>
  <c r="X91" i="42"/>
  <c r="Z91" i="42" s="1"/>
  <c r="N91" i="42"/>
  <c r="L91" i="42"/>
  <c r="B91" i="42"/>
  <c r="X90" i="42"/>
  <c r="Z90" i="42" s="1"/>
  <c r="V90" i="42"/>
  <c r="T90" i="42"/>
  <c r="P90" i="42"/>
  <c r="L90" i="42"/>
  <c r="N90" i="42" s="1"/>
  <c r="H90" i="42"/>
  <c r="D90" i="42"/>
  <c r="B90" i="42"/>
  <c r="Z89" i="42"/>
  <c r="X89" i="42"/>
  <c r="L89" i="42"/>
  <c r="N89" i="42" s="1"/>
  <c r="J89" i="42"/>
  <c r="B89" i="42"/>
  <c r="X88" i="42"/>
  <c r="Z88" i="42" s="1"/>
  <c r="N88" i="42"/>
  <c r="L88" i="42"/>
  <c r="B88" i="42"/>
  <c r="T87" i="42"/>
  <c r="P87" i="42"/>
  <c r="X87" i="42" s="1"/>
  <c r="N87" i="42"/>
  <c r="L87" i="42"/>
  <c r="H87" i="42"/>
  <c r="D87" i="42"/>
  <c r="B87" i="42"/>
  <c r="Z86" i="42"/>
  <c r="X86" i="42"/>
  <c r="N86" i="42"/>
  <c r="L86" i="42"/>
  <c r="B86" i="42"/>
  <c r="X85" i="42"/>
  <c r="Z85" i="42" s="1"/>
  <c r="L85" i="42"/>
  <c r="N85" i="42" s="1"/>
  <c r="B85" i="42"/>
  <c r="Z84" i="42"/>
  <c r="X84" i="42"/>
  <c r="N84" i="42"/>
  <c r="L84" i="42"/>
  <c r="B84" i="42"/>
  <c r="Z83" i="42"/>
  <c r="X83" i="42"/>
  <c r="L83" i="42"/>
  <c r="N83" i="42" s="1"/>
  <c r="J83" i="42"/>
  <c r="B83" i="42"/>
  <c r="X82" i="42"/>
  <c r="Z82" i="42" s="1"/>
  <c r="V82" i="42"/>
  <c r="L82" i="42"/>
  <c r="N82" i="42" s="1"/>
  <c r="B82" i="42"/>
  <c r="T81" i="42"/>
  <c r="P81" i="42"/>
  <c r="X81" i="42" s="1"/>
  <c r="Z81" i="42" s="1"/>
  <c r="L81" i="42"/>
  <c r="N81" i="42" s="1"/>
  <c r="H81" i="42"/>
  <c r="D81" i="42"/>
  <c r="B81" i="42"/>
  <c r="Z80" i="42"/>
  <c r="X80" i="42"/>
  <c r="N80" i="42"/>
  <c r="L80" i="42"/>
  <c r="B80" i="42"/>
  <c r="Z79" i="42"/>
  <c r="X79" i="42"/>
  <c r="N79" i="42"/>
  <c r="L79" i="42"/>
  <c r="B79" i="42"/>
  <c r="Z78" i="42"/>
  <c r="X78" i="42"/>
  <c r="V78" i="42"/>
  <c r="T78" i="42"/>
  <c r="P78" i="42"/>
  <c r="H78" i="42"/>
  <c r="N78" i="42" s="1"/>
  <c r="D78" i="42"/>
  <c r="L78" i="42" s="1"/>
  <c r="B78" i="42"/>
  <c r="X77" i="42"/>
  <c r="Z77" i="42" s="1"/>
  <c r="R77" i="42"/>
  <c r="N77" i="42"/>
  <c r="L77" i="42"/>
  <c r="B77" i="42"/>
  <c r="X76" i="42"/>
  <c r="Z76" i="42" s="1"/>
  <c r="N76" i="42"/>
  <c r="L76" i="42"/>
  <c r="J76" i="42"/>
  <c r="B76" i="42"/>
  <c r="Z75" i="42"/>
  <c r="X75" i="42"/>
  <c r="N75" i="42"/>
  <c r="L75" i="42"/>
  <c r="B75" i="42"/>
  <c r="Z74" i="42"/>
  <c r="X74" i="42"/>
  <c r="N74" i="42"/>
  <c r="L74" i="42"/>
  <c r="B74" i="42"/>
  <c r="T73" i="42"/>
  <c r="P73" i="42"/>
  <c r="H73" i="42"/>
  <c r="N73" i="42" s="1"/>
  <c r="D73" i="42"/>
  <c r="L73" i="42" s="1"/>
  <c r="B73" i="42"/>
  <c r="X72" i="42"/>
  <c r="Z72" i="42" s="1"/>
  <c r="V72" i="42"/>
  <c r="L72" i="42"/>
  <c r="N72" i="42" s="1"/>
  <c r="J72" i="42"/>
  <c r="B72" i="42"/>
  <c r="T71" i="42"/>
  <c r="P71" i="42"/>
  <c r="X71" i="42" s="1"/>
  <c r="H71" i="42"/>
  <c r="N71" i="42" s="1"/>
  <c r="D71" i="42"/>
  <c r="L71" i="42" s="1"/>
  <c r="B71" i="42"/>
  <c r="Z70" i="42"/>
  <c r="X70" i="42"/>
  <c r="N70" i="42"/>
  <c r="L70" i="42"/>
  <c r="B70" i="42"/>
  <c r="T69" i="42"/>
  <c r="Z69" i="42" s="1"/>
  <c r="P69" i="42"/>
  <c r="X69" i="42" s="1"/>
  <c r="N69" i="42"/>
  <c r="L69" i="42"/>
  <c r="H69" i="42"/>
  <c r="D69" i="42"/>
  <c r="B69" i="42"/>
  <c r="X68" i="42"/>
  <c r="Z68" i="42" s="1"/>
  <c r="L68" i="42"/>
  <c r="N68" i="42" s="1"/>
  <c r="J68" i="42"/>
  <c r="B68" i="42"/>
  <c r="T67" i="42"/>
  <c r="Z67" i="42" s="1"/>
  <c r="P67" i="42"/>
  <c r="X67" i="42" s="1"/>
  <c r="H67" i="42"/>
  <c r="D67" i="42"/>
  <c r="B67" i="42"/>
  <c r="Z66" i="42"/>
  <c r="X66" i="42"/>
  <c r="N66" i="42"/>
  <c r="L66" i="42"/>
  <c r="B66" i="42"/>
  <c r="T65" i="42"/>
  <c r="Z65" i="42" s="1"/>
  <c r="P65" i="42"/>
  <c r="X65" i="42" s="1"/>
  <c r="H65" i="42"/>
  <c r="F65" i="42"/>
  <c r="D65" i="42"/>
  <c r="L65" i="42" s="1"/>
  <c r="B65" i="42"/>
  <c r="Z64" i="42"/>
  <c r="X64" i="42"/>
  <c r="N64" i="42"/>
  <c r="L64" i="42"/>
  <c r="J64" i="42"/>
  <c r="B64" i="42"/>
  <c r="Z63" i="42"/>
  <c r="X63" i="42"/>
  <c r="T63" i="42"/>
  <c r="P63" i="42"/>
  <c r="H63" i="42"/>
  <c r="N63" i="42" s="1"/>
  <c r="D63" i="42"/>
  <c r="L63" i="42" s="1"/>
  <c r="B63" i="42"/>
  <c r="Z62" i="42"/>
  <c r="X62" i="42"/>
  <c r="N62" i="42"/>
  <c r="L62" i="42"/>
  <c r="B62" i="42"/>
  <c r="V61" i="42"/>
  <c r="T61" i="42"/>
  <c r="P61" i="42"/>
  <c r="H61" i="42"/>
  <c r="N61" i="42" s="1"/>
  <c r="D61" i="42"/>
  <c r="L61" i="42" s="1"/>
  <c r="B61" i="42"/>
  <c r="X60" i="42"/>
  <c r="Z60" i="42" s="1"/>
  <c r="V60" i="42"/>
  <c r="N60" i="42"/>
  <c r="L60" i="42"/>
  <c r="J60" i="42"/>
  <c r="B60" i="42"/>
  <c r="T59" i="42"/>
  <c r="Z59" i="42" s="1"/>
  <c r="P59" i="42"/>
  <c r="X59" i="42" s="1"/>
  <c r="H59" i="42"/>
  <c r="N59" i="42" s="1"/>
  <c r="D59" i="42"/>
  <c r="L59" i="42" s="1"/>
  <c r="B59" i="42"/>
  <c r="Z58" i="42"/>
  <c r="X58" i="42"/>
  <c r="R58" i="42"/>
  <c r="N58" i="42"/>
  <c r="L58" i="42"/>
  <c r="B58" i="42"/>
  <c r="X57" i="42"/>
  <c r="Z57" i="42" s="1"/>
  <c r="L57" i="42"/>
  <c r="N57" i="42" s="1"/>
  <c r="J57" i="42"/>
  <c r="F57" i="42"/>
  <c r="B57" i="42"/>
  <c r="Z56" i="42"/>
  <c r="X56" i="42"/>
  <c r="N56" i="42"/>
  <c r="L56" i="42"/>
  <c r="J56" i="42"/>
  <c r="B56" i="42"/>
  <c r="X55" i="42"/>
  <c r="Z55" i="42" s="1"/>
  <c r="T55" i="42"/>
  <c r="P55" i="42"/>
  <c r="H55" i="42"/>
  <c r="N55" i="42" s="1"/>
  <c r="D55" i="42"/>
  <c r="L55" i="42" s="1"/>
  <c r="B55" i="42"/>
  <c r="Z54" i="42"/>
  <c r="X54" i="42"/>
  <c r="N54" i="42"/>
  <c r="L54" i="42"/>
  <c r="B54" i="42"/>
  <c r="T53" i="42"/>
  <c r="P53" i="42"/>
  <c r="H53" i="42"/>
  <c r="D53" i="42"/>
  <c r="L53" i="42" s="1"/>
  <c r="B53" i="42"/>
  <c r="X52" i="42"/>
  <c r="Z52" i="42" s="1"/>
  <c r="V52" i="42"/>
  <c r="L52" i="42"/>
  <c r="N52" i="42" s="1"/>
  <c r="J52" i="42"/>
  <c r="B52" i="42"/>
  <c r="T51" i="42"/>
  <c r="P51" i="42"/>
  <c r="X51" i="42" s="1"/>
  <c r="H51" i="42"/>
  <c r="N51" i="42" s="1"/>
  <c r="D51" i="42"/>
  <c r="L51" i="42" s="1"/>
  <c r="B51" i="42"/>
  <c r="Z50" i="42"/>
  <c r="X50" i="42"/>
  <c r="N50" i="42"/>
  <c r="L50" i="42"/>
  <c r="B50" i="42"/>
  <c r="T49" i="42"/>
  <c r="P49" i="42"/>
  <c r="X49" i="42" s="1"/>
  <c r="N49" i="42"/>
  <c r="L49" i="42"/>
  <c r="H49" i="42"/>
  <c r="D49" i="42"/>
  <c r="B49" i="42"/>
  <c r="Z48" i="42"/>
  <c r="X48" i="42"/>
  <c r="V48" i="42"/>
  <c r="N48" i="42"/>
  <c r="L48" i="42"/>
  <c r="J48" i="42"/>
  <c r="B48" i="42"/>
  <c r="Z47" i="42"/>
  <c r="X47" i="42"/>
  <c r="N47" i="42"/>
  <c r="L47" i="42"/>
  <c r="J47" i="42"/>
  <c r="B47" i="42"/>
  <c r="Z46" i="42"/>
  <c r="X46" i="42"/>
  <c r="N46" i="42"/>
  <c r="L46" i="42"/>
  <c r="B46" i="42"/>
  <c r="X45" i="42"/>
  <c r="Z45" i="42" s="1"/>
  <c r="V45" i="42"/>
  <c r="N45" i="42"/>
  <c r="L45" i="42"/>
  <c r="B45" i="42"/>
  <c r="Z44" i="42"/>
  <c r="X44" i="42"/>
  <c r="V44" i="42"/>
  <c r="N44" i="42"/>
  <c r="L44" i="42"/>
  <c r="J44" i="42"/>
  <c r="B44" i="42"/>
  <c r="X43" i="42"/>
  <c r="Z43" i="42" s="1"/>
  <c r="L43" i="42"/>
  <c r="N43" i="42" s="1"/>
  <c r="J43" i="42"/>
  <c r="B43" i="42"/>
  <c r="Z42" i="42"/>
  <c r="X42" i="42"/>
  <c r="N42" i="42"/>
  <c r="L42" i="42"/>
  <c r="B42" i="42"/>
  <c r="Z41" i="42"/>
  <c r="X41" i="42"/>
  <c r="V41" i="42"/>
  <c r="N41" i="42"/>
  <c r="L41" i="42"/>
  <c r="B41" i="42"/>
  <c r="Z40" i="42"/>
  <c r="X40" i="42"/>
  <c r="V40" i="42"/>
  <c r="L40" i="42"/>
  <c r="N40" i="42" s="1"/>
  <c r="J40" i="42"/>
  <c r="B40" i="42"/>
  <c r="X39" i="42"/>
  <c r="Z39" i="42" s="1"/>
  <c r="L39" i="42"/>
  <c r="N39" i="42" s="1"/>
  <c r="J39" i="42"/>
  <c r="B39" i="42"/>
  <c r="Z38" i="42"/>
  <c r="X38" i="42"/>
  <c r="T38" i="42"/>
  <c r="P38" i="42"/>
  <c r="J38" i="42"/>
  <c r="H38" i="42"/>
  <c r="D38" i="42"/>
  <c r="L38" i="42" s="1"/>
  <c r="B38" i="42"/>
  <c r="Z37" i="42"/>
  <c r="X37" i="42"/>
  <c r="L37" i="42"/>
  <c r="N37" i="42" s="1"/>
  <c r="B37" i="42"/>
  <c r="X36" i="42"/>
  <c r="Z36" i="42" s="1"/>
  <c r="V36" i="42"/>
  <c r="L36" i="42"/>
  <c r="N36" i="42" s="1"/>
  <c r="J36" i="42"/>
  <c r="B36" i="42"/>
  <c r="X35" i="42"/>
  <c r="Z35" i="42" s="1"/>
  <c r="N35" i="42"/>
  <c r="L35" i="42"/>
  <c r="B35" i="42"/>
  <c r="Z34" i="42"/>
  <c r="X34" i="42"/>
  <c r="N34" i="42"/>
  <c r="L34" i="42"/>
  <c r="J34" i="42"/>
  <c r="B34" i="42"/>
  <c r="Z33" i="42"/>
  <c r="X33" i="42"/>
  <c r="L33" i="42"/>
  <c r="N33" i="42" s="1"/>
  <c r="B33" i="42"/>
  <c r="X32" i="42"/>
  <c r="Z32" i="42" s="1"/>
  <c r="V32" i="42"/>
  <c r="L32" i="42"/>
  <c r="N32" i="42" s="1"/>
  <c r="J32" i="42"/>
  <c r="B32" i="42"/>
  <c r="X31" i="42"/>
  <c r="Z31" i="42" s="1"/>
  <c r="N31" i="42"/>
  <c r="L31" i="42"/>
  <c r="B31" i="42"/>
  <c r="Z30" i="42"/>
  <c r="X30" i="42"/>
  <c r="N30" i="42"/>
  <c r="L30" i="42"/>
  <c r="J30" i="42"/>
  <c r="B30" i="42"/>
  <c r="Z29" i="42"/>
  <c r="X29" i="42"/>
  <c r="L29" i="42"/>
  <c r="N29" i="42" s="1"/>
  <c r="J29" i="42"/>
  <c r="B29" i="42"/>
  <c r="X28" i="42"/>
  <c r="Z28" i="42" s="1"/>
  <c r="V28" i="42"/>
  <c r="T28" i="42"/>
  <c r="P28" i="42"/>
  <c r="J28" i="42"/>
  <c r="H28" i="42"/>
  <c r="D28" i="42"/>
  <c r="L28" i="42" s="1"/>
  <c r="N28" i="42" s="1"/>
  <c r="B28" i="42"/>
  <c r="Z27" i="42"/>
  <c r="X27" i="42"/>
  <c r="T27" i="42"/>
  <c r="P27" i="42"/>
  <c r="H27" i="42"/>
  <c r="D27" i="42"/>
  <c r="L27" i="42" s="1"/>
  <c r="Z23" i="42"/>
  <c r="X23" i="42"/>
  <c r="N23" i="42"/>
  <c r="L23" i="42"/>
  <c r="B23" i="42"/>
  <c r="Z22" i="42"/>
  <c r="X22" i="42"/>
  <c r="N22" i="42"/>
  <c r="L22" i="42"/>
  <c r="B22" i="42"/>
  <c r="X21" i="42"/>
  <c r="Z21" i="42" s="1"/>
  <c r="L21" i="42"/>
  <c r="N21" i="42" s="1"/>
  <c r="J21" i="42"/>
  <c r="B21" i="42"/>
  <c r="V20" i="42"/>
  <c r="T20" i="42"/>
  <c r="P20" i="42"/>
  <c r="X20" i="42" s="1"/>
  <c r="Z20" i="42" s="1"/>
  <c r="H20" i="42"/>
  <c r="F20" i="42"/>
  <c r="D20" i="42"/>
  <c r="Z18" i="42"/>
  <c r="P18" i="42"/>
  <c r="X18" i="42" s="1"/>
  <c r="N18" i="42"/>
  <c r="L18" i="42"/>
  <c r="D18" i="42"/>
  <c r="B18" i="42"/>
  <c r="P17" i="42"/>
  <c r="X17" i="42" s="1"/>
  <c r="Z17" i="42" s="1"/>
  <c r="N17" i="42"/>
  <c r="L17" i="42"/>
  <c r="D17" i="42"/>
  <c r="B17" i="42"/>
  <c r="Z16" i="42"/>
  <c r="P16" i="42"/>
  <c r="X16" i="42" s="1"/>
  <c r="N16" i="42"/>
  <c r="L16" i="42"/>
  <c r="D16" i="42"/>
  <c r="B16" i="42"/>
  <c r="Z15" i="42"/>
  <c r="X15" i="42"/>
  <c r="P15" i="42"/>
  <c r="N15" i="42"/>
  <c r="D15" i="42"/>
  <c r="L15" i="42" s="1"/>
  <c r="B15" i="42"/>
  <c r="Z14" i="42"/>
  <c r="P14" i="42"/>
  <c r="X14" i="42" s="1"/>
  <c r="N14" i="42"/>
  <c r="D14" i="42"/>
  <c r="L14" i="42" s="1"/>
  <c r="B14" i="42"/>
  <c r="Z13" i="42"/>
  <c r="X13" i="42"/>
  <c r="P13" i="42"/>
  <c r="D13" i="42"/>
  <c r="D12" i="42" s="1"/>
  <c r="B13" i="42"/>
  <c r="T12" i="42"/>
  <c r="V63" i="42" s="1"/>
  <c r="P12" i="42"/>
  <c r="H12" i="42"/>
  <c r="J77" i="42" s="1"/>
  <c r="D4" i="42"/>
  <c r="X126" i="39"/>
  <c r="Z126" i="39" s="1"/>
  <c r="N126" i="39"/>
  <c r="L126" i="39"/>
  <c r="Z122" i="39"/>
  <c r="X122" i="39"/>
  <c r="P122" i="39"/>
  <c r="N122" i="39"/>
  <c r="D122" i="39"/>
  <c r="L122" i="39" s="1"/>
  <c r="B122" i="39"/>
  <c r="P121" i="39"/>
  <c r="X121" i="39" s="1"/>
  <c r="Z121" i="39" s="1"/>
  <c r="L121" i="39"/>
  <c r="N121" i="39" s="1"/>
  <c r="D121" i="39"/>
  <c r="B121" i="39"/>
  <c r="Z120" i="39"/>
  <c r="X120" i="39"/>
  <c r="P120" i="39"/>
  <c r="J120" i="39"/>
  <c r="D120" i="39"/>
  <c r="L120" i="39" s="1"/>
  <c r="N120" i="39" s="1"/>
  <c r="B120" i="39"/>
  <c r="P119" i="39"/>
  <c r="X119" i="39" s="1"/>
  <c r="Z119" i="39" s="1"/>
  <c r="D119" i="39"/>
  <c r="L119" i="39" s="1"/>
  <c r="N119" i="39" s="1"/>
  <c r="B119" i="39"/>
  <c r="X118" i="39"/>
  <c r="Z118" i="39" s="1"/>
  <c r="T118" i="39"/>
  <c r="P118" i="39"/>
  <c r="H118" i="39"/>
  <c r="Z116" i="39"/>
  <c r="X116" i="39"/>
  <c r="L116" i="39"/>
  <c r="N116" i="39" s="1"/>
  <c r="B116" i="39"/>
  <c r="Z115" i="39"/>
  <c r="T115" i="39"/>
  <c r="X115" i="39" s="1"/>
  <c r="P115" i="39"/>
  <c r="H115" i="39"/>
  <c r="D115" i="39"/>
  <c r="L115" i="39" s="1"/>
  <c r="N115" i="39" s="1"/>
  <c r="B115" i="39"/>
  <c r="Z114" i="39"/>
  <c r="X114" i="39"/>
  <c r="V114" i="39"/>
  <c r="N114" i="39"/>
  <c r="L114" i="39"/>
  <c r="B114" i="39"/>
  <c r="Z113" i="39"/>
  <c r="X113" i="39"/>
  <c r="V113" i="39"/>
  <c r="N113" i="39"/>
  <c r="L113" i="39"/>
  <c r="J113" i="39"/>
  <c r="B113" i="39"/>
  <c r="X112" i="39"/>
  <c r="Z112" i="39" s="1"/>
  <c r="N112" i="39"/>
  <c r="L112" i="39"/>
  <c r="B112" i="39"/>
  <c r="Z111" i="39"/>
  <c r="X111" i="39"/>
  <c r="T111" i="39"/>
  <c r="P111" i="39"/>
  <c r="J111" i="39"/>
  <c r="H111" i="39"/>
  <c r="N111" i="39" s="1"/>
  <c r="D111" i="39"/>
  <c r="L111" i="39" s="1"/>
  <c r="B111" i="39"/>
  <c r="Z110" i="39"/>
  <c r="X110" i="39"/>
  <c r="N110" i="39"/>
  <c r="L110" i="39"/>
  <c r="B110" i="39"/>
  <c r="X109" i="39"/>
  <c r="Z109" i="39" s="1"/>
  <c r="V109" i="39"/>
  <c r="T109" i="39"/>
  <c r="P109" i="39"/>
  <c r="N109" i="39"/>
  <c r="H109" i="39"/>
  <c r="D109" i="39"/>
  <c r="L109" i="39" s="1"/>
  <c r="B109" i="39"/>
  <c r="Z108" i="39"/>
  <c r="X108" i="39"/>
  <c r="L108" i="39"/>
  <c r="N108" i="39" s="1"/>
  <c r="B108" i="39"/>
  <c r="Z107" i="39"/>
  <c r="X107" i="39"/>
  <c r="N107" i="39"/>
  <c r="L107" i="39"/>
  <c r="B107" i="39"/>
  <c r="T106" i="39"/>
  <c r="P106" i="39"/>
  <c r="X106" i="39" s="1"/>
  <c r="N106" i="39"/>
  <c r="L106" i="39"/>
  <c r="H106" i="39"/>
  <c r="D106" i="39"/>
  <c r="B106" i="39"/>
  <c r="X105" i="39"/>
  <c r="Z105" i="39" s="1"/>
  <c r="V105" i="39"/>
  <c r="N105" i="39"/>
  <c r="L105" i="39"/>
  <c r="J105" i="39"/>
  <c r="B105" i="39"/>
  <c r="X104" i="39"/>
  <c r="Z104" i="39" s="1"/>
  <c r="L104" i="39"/>
  <c r="N104" i="39" s="1"/>
  <c r="B104" i="39"/>
  <c r="Z103" i="39"/>
  <c r="X103" i="39"/>
  <c r="N103" i="39"/>
  <c r="L103" i="39"/>
  <c r="B103" i="39"/>
  <c r="Z102" i="39"/>
  <c r="X102" i="39"/>
  <c r="V102" i="39"/>
  <c r="N102" i="39"/>
  <c r="L102" i="39"/>
  <c r="B102" i="39"/>
  <c r="Z101" i="39"/>
  <c r="X101" i="39"/>
  <c r="V101" i="39"/>
  <c r="N101" i="39"/>
  <c r="L101" i="39"/>
  <c r="J101" i="39"/>
  <c r="B101" i="39"/>
  <c r="X100" i="39"/>
  <c r="Z100" i="39" s="1"/>
  <c r="L100" i="39"/>
  <c r="N100" i="39" s="1"/>
  <c r="B100" i="39"/>
  <c r="Z99" i="39"/>
  <c r="X99" i="39"/>
  <c r="N99" i="39"/>
  <c r="L99" i="39"/>
  <c r="B99" i="39"/>
  <c r="X98" i="39"/>
  <c r="Z98" i="39" s="1"/>
  <c r="V98" i="39"/>
  <c r="N98" i="39"/>
  <c r="L98" i="39"/>
  <c r="B98" i="39"/>
  <c r="X97" i="39"/>
  <c r="Z97" i="39" s="1"/>
  <c r="V97" i="39"/>
  <c r="L97" i="39"/>
  <c r="N97" i="39" s="1"/>
  <c r="J97" i="39"/>
  <c r="B97" i="39"/>
  <c r="X96" i="39"/>
  <c r="Z96" i="39" s="1"/>
  <c r="L96" i="39"/>
  <c r="N96" i="39" s="1"/>
  <c r="B96" i="39"/>
  <c r="Z95" i="39"/>
  <c r="X95" i="39"/>
  <c r="N95" i="39"/>
  <c r="L95" i="39"/>
  <c r="B95" i="39"/>
  <c r="V94" i="39"/>
  <c r="T94" i="39"/>
  <c r="P94" i="39"/>
  <c r="H94" i="39"/>
  <c r="D94" i="39"/>
  <c r="L94" i="39" s="1"/>
  <c r="B94" i="39"/>
  <c r="X93" i="39"/>
  <c r="Z93" i="39" s="1"/>
  <c r="V93" i="39"/>
  <c r="N93" i="39"/>
  <c r="L93" i="39"/>
  <c r="B93" i="39"/>
  <c r="X92" i="39"/>
  <c r="Z92" i="39" s="1"/>
  <c r="N92" i="39"/>
  <c r="L92" i="39"/>
  <c r="B92" i="39"/>
  <c r="T91" i="39"/>
  <c r="P91" i="39"/>
  <c r="X91" i="39" s="1"/>
  <c r="Z91" i="39" s="1"/>
  <c r="L91" i="39"/>
  <c r="N91" i="39" s="1"/>
  <c r="J91" i="39"/>
  <c r="H91" i="39"/>
  <c r="D91" i="39"/>
  <c r="B91" i="39"/>
  <c r="X90" i="39"/>
  <c r="Z90" i="39" s="1"/>
  <c r="L90" i="39"/>
  <c r="N90" i="39" s="1"/>
  <c r="J90" i="39"/>
  <c r="B90" i="39"/>
  <c r="X89" i="39"/>
  <c r="Z89" i="39" s="1"/>
  <c r="V89" i="39"/>
  <c r="L89" i="39"/>
  <c r="N89" i="39" s="1"/>
  <c r="J89" i="39"/>
  <c r="B89" i="39"/>
  <c r="X88" i="39"/>
  <c r="Z88" i="39" s="1"/>
  <c r="L88" i="39"/>
  <c r="N88" i="39" s="1"/>
  <c r="B88" i="39"/>
  <c r="Z87" i="39"/>
  <c r="X87" i="39"/>
  <c r="N87" i="39"/>
  <c r="L87" i="39"/>
  <c r="B87" i="39"/>
  <c r="X86" i="39"/>
  <c r="Z86" i="39" s="1"/>
  <c r="L86" i="39"/>
  <c r="N86" i="39" s="1"/>
  <c r="J86" i="39"/>
  <c r="B86" i="39"/>
  <c r="V85" i="39"/>
  <c r="T85" i="39"/>
  <c r="P85" i="39"/>
  <c r="X85" i="39" s="1"/>
  <c r="H85" i="39"/>
  <c r="L85" i="39" s="1"/>
  <c r="D85" i="39"/>
  <c r="B85" i="39"/>
  <c r="X84" i="39"/>
  <c r="Z84" i="39" s="1"/>
  <c r="L84" i="39"/>
  <c r="N84" i="39" s="1"/>
  <c r="B84" i="39"/>
  <c r="Z83" i="39"/>
  <c r="X83" i="39"/>
  <c r="N83" i="39"/>
  <c r="L83" i="39"/>
  <c r="B83" i="39"/>
  <c r="T82" i="39"/>
  <c r="P82" i="39"/>
  <c r="H82" i="39"/>
  <c r="D82" i="39"/>
  <c r="L82" i="39" s="1"/>
  <c r="B82" i="39"/>
  <c r="X81" i="39"/>
  <c r="Z81" i="39" s="1"/>
  <c r="V81" i="39"/>
  <c r="L81" i="39"/>
  <c r="N81" i="39" s="1"/>
  <c r="J81" i="39"/>
  <c r="B81" i="39"/>
  <c r="X80" i="39"/>
  <c r="Z80" i="39" s="1"/>
  <c r="N80" i="39"/>
  <c r="L80" i="39"/>
  <c r="B80" i="39"/>
  <c r="Z79" i="39"/>
  <c r="X79" i="39"/>
  <c r="N79" i="39"/>
  <c r="L79" i="39"/>
  <c r="B79" i="39"/>
  <c r="Z78" i="39"/>
  <c r="X78" i="39"/>
  <c r="N78" i="39"/>
  <c r="L78" i="39"/>
  <c r="B78" i="39"/>
  <c r="X77" i="39"/>
  <c r="Z77" i="39" s="1"/>
  <c r="V77" i="39"/>
  <c r="T77" i="39"/>
  <c r="P77" i="39"/>
  <c r="H77" i="39"/>
  <c r="D77" i="39"/>
  <c r="L77" i="39" s="1"/>
  <c r="N77" i="39" s="1"/>
  <c r="B77" i="39"/>
  <c r="Z76" i="39"/>
  <c r="X76" i="39"/>
  <c r="L76" i="39"/>
  <c r="N76" i="39" s="1"/>
  <c r="B76" i="39"/>
  <c r="Z75" i="39"/>
  <c r="T75" i="39"/>
  <c r="X75" i="39" s="1"/>
  <c r="P75" i="39"/>
  <c r="J75" i="39"/>
  <c r="H75" i="39"/>
  <c r="D75" i="39"/>
  <c r="L75" i="39" s="1"/>
  <c r="B75" i="39"/>
  <c r="X74" i="39"/>
  <c r="Z74" i="39" s="1"/>
  <c r="V74" i="39"/>
  <c r="N74" i="39"/>
  <c r="L74" i="39"/>
  <c r="B74" i="39"/>
  <c r="V73" i="39"/>
  <c r="T73" i="39"/>
  <c r="Z73" i="39" s="1"/>
  <c r="P73" i="39"/>
  <c r="X73" i="39" s="1"/>
  <c r="N73" i="39"/>
  <c r="L73" i="39"/>
  <c r="H73" i="39"/>
  <c r="D73" i="39"/>
  <c r="B73" i="39"/>
  <c r="X72" i="39"/>
  <c r="Z72" i="39" s="1"/>
  <c r="N72" i="39"/>
  <c r="L72" i="39"/>
  <c r="B72" i="39"/>
  <c r="T71" i="39"/>
  <c r="P71" i="39"/>
  <c r="X71" i="39" s="1"/>
  <c r="Z71" i="39" s="1"/>
  <c r="L71" i="39"/>
  <c r="N71" i="39" s="1"/>
  <c r="J71" i="39"/>
  <c r="H71" i="39"/>
  <c r="D71" i="39"/>
  <c r="B71" i="39"/>
  <c r="X70" i="39"/>
  <c r="Z70" i="39" s="1"/>
  <c r="L70" i="39"/>
  <c r="N70" i="39" s="1"/>
  <c r="J70" i="39"/>
  <c r="B70" i="39"/>
  <c r="V69" i="39"/>
  <c r="T69" i="39"/>
  <c r="Z69" i="39" s="1"/>
  <c r="P69" i="39"/>
  <c r="X69" i="39" s="1"/>
  <c r="H69" i="39"/>
  <c r="D69" i="39"/>
  <c r="B69" i="39"/>
  <c r="Z68" i="39"/>
  <c r="X68" i="39"/>
  <c r="N68" i="39"/>
  <c r="L68" i="39"/>
  <c r="B68" i="39"/>
  <c r="Z67" i="39"/>
  <c r="X67" i="39"/>
  <c r="N67" i="39"/>
  <c r="L67" i="39"/>
  <c r="B67" i="39"/>
  <c r="V66" i="39"/>
  <c r="T66" i="39"/>
  <c r="P66" i="39"/>
  <c r="L66" i="39"/>
  <c r="H66" i="39"/>
  <c r="N66" i="39" s="1"/>
  <c r="D66" i="39"/>
  <c r="B66" i="39"/>
  <c r="X65" i="39"/>
  <c r="Z65" i="39" s="1"/>
  <c r="V65" i="39"/>
  <c r="L65" i="39"/>
  <c r="N65" i="39" s="1"/>
  <c r="J65" i="39"/>
  <c r="B65" i="39"/>
  <c r="X64" i="39"/>
  <c r="T64" i="39"/>
  <c r="P64" i="39"/>
  <c r="H64" i="39"/>
  <c r="D64" i="39"/>
  <c r="L64" i="39" s="1"/>
  <c r="B64" i="39"/>
  <c r="Z63" i="39"/>
  <c r="X63" i="39"/>
  <c r="N63" i="39"/>
  <c r="L63" i="39"/>
  <c r="B63" i="39"/>
  <c r="T62" i="39"/>
  <c r="P62" i="39"/>
  <c r="X62" i="39" s="1"/>
  <c r="N62" i="39"/>
  <c r="H62" i="39"/>
  <c r="D62" i="39"/>
  <c r="L62" i="39" s="1"/>
  <c r="B62" i="39"/>
  <c r="X61" i="39"/>
  <c r="Z61" i="39" s="1"/>
  <c r="V61" i="39"/>
  <c r="L61" i="39"/>
  <c r="N61" i="39" s="1"/>
  <c r="J61" i="39"/>
  <c r="B61" i="39"/>
  <c r="X60" i="39"/>
  <c r="Z60" i="39" s="1"/>
  <c r="L60" i="39"/>
  <c r="N60" i="39" s="1"/>
  <c r="B60" i="39"/>
  <c r="Z59" i="39"/>
  <c r="X59" i="39"/>
  <c r="N59" i="39"/>
  <c r="L59" i="39"/>
  <c r="B59" i="39"/>
  <c r="T58" i="39"/>
  <c r="P58" i="39"/>
  <c r="L58" i="39"/>
  <c r="H58" i="39"/>
  <c r="D58" i="39"/>
  <c r="B58" i="39"/>
  <c r="X57" i="39"/>
  <c r="Z57" i="39" s="1"/>
  <c r="V57" i="39"/>
  <c r="N57" i="39"/>
  <c r="L57" i="39"/>
  <c r="J57" i="39"/>
  <c r="B57" i="39"/>
  <c r="X56" i="39"/>
  <c r="T56" i="39"/>
  <c r="P56" i="39"/>
  <c r="H56" i="39"/>
  <c r="D56" i="39"/>
  <c r="L56" i="39" s="1"/>
  <c r="B56" i="39"/>
  <c r="Z55" i="39"/>
  <c r="X55" i="39"/>
  <c r="N55" i="39"/>
  <c r="L55" i="39"/>
  <c r="B55" i="39"/>
  <c r="T54" i="39"/>
  <c r="P54" i="39"/>
  <c r="H54" i="39"/>
  <c r="D54" i="39"/>
  <c r="L54" i="39" s="1"/>
  <c r="N54" i="39" s="1"/>
  <c r="B54" i="39"/>
  <c r="Z53" i="39"/>
  <c r="X53" i="39"/>
  <c r="V53" i="39"/>
  <c r="L53" i="39"/>
  <c r="N53" i="39" s="1"/>
  <c r="J53" i="39"/>
  <c r="B53" i="39"/>
  <c r="X52" i="39"/>
  <c r="T52" i="39"/>
  <c r="P52" i="39"/>
  <c r="J52" i="39"/>
  <c r="H52" i="39"/>
  <c r="D52" i="39"/>
  <c r="B52" i="39"/>
  <c r="Z51" i="39"/>
  <c r="X51" i="39"/>
  <c r="N51" i="39"/>
  <c r="L51" i="39"/>
  <c r="B51" i="39"/>
  <c r="Z50" i="39"/>
  <c r="X50" i="39"/>
  <c r="N50" i="39"/>
  <c r="L50" i="39"/>
  <c r="B50" i="39"/>
  <c r="X49" i="39"/>
  <c r="Z49" i="39" s="1"/>
  <c r="V49" i="39"/>
  <c r="N49" i="39"/>
  <c r="L49" i="39"/>
  <c r="J49" i="39"/>
  <c r="B49" i="39"/>
  <c r="X48" i="39"/>
  <c r="Z48" i="39" s="1"/>
  <c r="N48" i="39"/>
  <c r="L48" i="39"/>
  <c r="B48" i="39"/>
  <c r="Z47" i="39"/>
  <c r="X47" i="39"/>
  <c r="N47" i="39"/>
  <c r="L47" i="39"/>
  <c r="B47" i="39"/>
  <c r="X46" i="39"/>
  <c r="Z46" i="39" s="1"/>
  <c r="L46" i="39"/>
  <c r="N46" i="39" s="1"/>
  <c r="B46" i="39"/>
  <c r="X45" i="39"/>
  <c r="Z45" i="39" s="1"/>
  <c r="V45" i="39"/>
  <c r="N45" i="39"/>
  <c r="L45" i="39"/>
  <c r="J45" i="39"/>
  <c r="B45" i="39"/>
  <c r="Z44" i="39"/>
  <c r="X44" i="39"/>
  <c r="N44" i="39"/>
  <c r="L44" i="39"/>
  <c r="B44" i="39"/>
  <c r="Z43" i="39"/>
  <c r="X43" i="39"/>
  <c r="N43" i="39"/>
  <c r="L43" i="39"/>
  <c r="B43" i="39"/>
  <c r="X42" i="39"/>
  <c r="Z42" i="39" s="1"/>
  <c r="L42" i="39"/>
  <c r="N42" i="39" s="1"/>
  <c r="B42" i="39"/>
  <c r="X41" i="39"/>
  <c r="Z41" i="39" s="1"/>
  <c r="V41" i="39"/>
  <c r="T41" i="39"/>
  <c r="P41" i="39"/>
  <c r="H41" i="39"/>
  <c r="D41" i="39"/>
  <c r="L41" i="39" s="1"/>
  <c r="N41" i="39" s="1"/>
  <c r="B41" i="39"/>
  <c r="Z40" i="39"/>
  <c r="X40" i="39"/>
  <c r="L40" i="39"/>
  <c r="N40" i="39" s="1"/>
  <c r="B40" i="39"/>
  <c r="Z39" i="39"/>
  <c r="X39" i="39"/>
  <c r="V39" i="39"/>
  <c r="N39" i="39"/>
  <c r="L39" i="39"/>
  <c r="B39" i="39"/>
  <c r="X38" i="39"/>
  <c r="Z38" i="39" s="1"/>
  <c r="L38" i="39"/>
  <c r="N38" i="39" s="1"/>
  <c r="J38" i="39"/>
  <c r="B38" i="39"/>
  <c r="Z37" i="39"/>
  <c r="X37" i="39"/>
  <c r="V37" i="39"/>
  <c r="N37" i="39"/>
  <c r="L37" i="39"/>
  <c r="J37" i="39"/>
  <c r="B37" i="39"/>
  <c r="Z36" i="39"/>
  <c r="X36" i="39"/>
  <c r="L36" i="39"/>
  <c r="N36" i="39" s="1"/>
  <c r="B36" i="39"/>
  <c r="Z35" i="39"/>
  <c r="X35" i="39"/>
  <c r="V35" i="39"/>
  <c r="N35" i="39"/>
  <c r="L35" i="39"/>
  <c r="B35" i="39"/>
  <c r="X34" i="39"/>
  <c r="Z34" i="39" s="1"/>
  <c r="L34" i="39"/>
  <c r="N34" i="39" s="1"/>
  <c r="J34" i="39"/>
  <c r="B34" i="39"/>
  <c r="X33" i="39"/>
  <c r="Z33" i="39" s="1"/>
  <c r="V33" i="39"/>
  <c r="N33" i="39"/>
  <c r="L33" i="39"/>
  <c r="J33" i="39"/>
  <c r="B33" i="39"/>
  <c r="Z32" i="39"/>
  <c r="X32" i="39"/>
  <c r="L32" i="39"/>
  <c r="N32" i="39" s="1"/>
  <c r="B32" i="39"/>
  <c r="Z31" i="39"/>
  <c r="T31" i="39"/>
  <c r="X31" i="39" s="1"/>
  <c r="P31" i="39"/>
  <c r="J31" i="39"/>
  <c r="H31" i="39"/>
  <c r="D31" i="39"/>
  <c r="L31" i="39" s="1"/>
  <c r="B31" i="39"/>
  <c r="X30" i="39"/>
  <c r="T30" i="39"/>
  <c r="P30" i="39"/>
  <c r="H30" i="39"/>
  <c r="D30" i="39"/>
  <c r="L30" i="39" s="1"/>
  <c r="V28" i="39"/>
  <c r="T28" i="39"/>
  <c r="H28" i="39"/>
  <c r="Z26" i="39"/>
  <c r="X26" i="39"/>
  <c r="V26" i="39"/>
  <c r="N26" i="39"/>
  <c r="L26" i="39"/>
  <c r="B26" i="39"/>
  <c r="Z25" i="39"/>
  <c r="X25" i="39"/>
  <c r="V25" i="39"/>
  <c r="N25" i="39"/>
  <c r="L25" i="39"/>
  <c r="J25" i="39"/>
  <c r="B25" i="39"/>
  <c r="X24" i="39"/>
  <c r="Z24" i="39" s="1"/>
  <c r="L24" i="39"/>
  <c r="N24" i="39" s="1"/>
  <c r="B24" i="39"/>
  <c r="Z23" i="39"/>
  <c r="X23" i="39"/>
  <c r="V23" i="39"/>
  <c r="T23" i="39"/>
  <c r="P23" i="39"/>
  <c r="N23" i="39"/>
  <c r="J23" i="39"/>
  <c r="H23" i="39"/>
  <c r="D23" i="39"/>
  <c r="L23" i="39" s="1"/>
  <c r="Z21" i="39"/>
  <c r="P21" i="39"/>
  <c r="X21" i="39" s="1"/>
  <c r="N21" i="39"/>
  <c r="L21" i="39"/>
  <c r="D21" i="39"/>
  <c r="B21" i="39"/>
  <c r="Z20" i="39"/>
  <c r="X20" i="39"/>
  <c r="P20" i="39"/>
  <c r="N20" i="39"/>
  <c r="L20" i="39"/>
  <c r="D20" i="39"/>
  <c r="B20" i="39"/>
  <c r="Z19" i="39"/>
  <c r="P19" i="39"/>
  <c r="X19" i="39" s="1"/>
  <c r="N19" i="39"/>
  <c r="L19" i="39"/>
  <c r="D19" i="39"/>
  <c r="B19" i="39"/>
  <c r="X18" i="39"/>
  <c r="Z18" i="39" s="1"/>
  <c r="P18" i="39"/>
  <c r="D18" i="39"/>
  <c r="L18" i="39" s="1"/>
  <c r="N18" i="39" s="1"/>
  <c r="B18" i="39"/>
  <c r="Z17" i="39"/>
  <c r="P17" i="39"/>
  <c r="X17" i="39" s="1"/>
  <c r="N17" i="39"/>
  <c r="L17" i="39"/>
  <c r="D17" i="39"/>
  <c r="B17" i="39"/>
  <c r="Z16" i="39"/>
  <c r="X16" i="39"/>
  <c r="P16" i="39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D14" i="39"/>
  <c r="L14" i="39" s="1"/>
  <c r="B14" i="39"/>
  <c r="Z13" i="39"/>
  <c r="P13" i="39"/>
  <c r="X13" i="39" s="1"/>
  <c r="N13" i="39"/>
  <c r="L13" i="39"/>
  <c r="D13" i="39"/>
  <c r="B13" i="39"/>
  <c r="T12" i="39"/>
  <c r="V119" i="39" s="1"/>
  <c r="H12" i="39"/>
  <c r="J107" i="39" s="1"/>
  <c r="D4" i="39"/>
  <c r="X129" i="36"/>
  <c r="Z129" i="36" s="1"/>
  <c r="L129" i="36"/>
  <c r="N129" i="36" s="1"/>
  <c r="J129" i="36"/>
  <c r="Z125" i="36"/>
  <c r="X125" i="36"/>
  <c r="P125" i="36"/>
  <c r="N125" i="36"/>
  <c r="D125" i="36"/>
  <c r="B125" i="36"/>
  <c r="P124" i="36"/>
  <c r="X124" i="36" s="1"/>
  <c r="Z124" i="36" s="1"/>
  <c r="L124" i="36"/>
  <c r="N124" i="36" s="1"/>
  <c r="D124" i="36"/>
  <c r="B124" i="36"/>
  <c r="Z123" i="36"/>
  <c r="X123" i="36"/>
  <c r="P123" i="36"/>
  <c r="P121" i="36" s="1"/>
  <c r="X121" i="36" s="1"/>
  <c r="D123" i="36"/>
  <c r="L123" i="36" s="1"/>
  <c r="N123" i="36" s="1"/>
  <c r="B123" i="36"/>
  <c r="Z122" i="36"/>
  <c r="X122" i="36"/>
  <c r="V122" i="36"/>
  <c r="P122" i="36"/>
  <c r="D122" i="36"/>
  <c r="L122" i="36" s="1"/>
  <c r="N122" i="36" s="1"/>
  <c r="B122" i="36"/>
  <c r="V121" i="36"/>
  <c r="T121" i="36"/>
  <c r="H121" i="36"/>
  <c r="X119" i="36"/>
  <c r="Z119" i="36" s="1"/>
  <c r="V119" i="36"/>
  <c r="L119" i="36"/>
  <c r="N119" i="36" s="1"/>
  <c r="B119" i="36"/>
  <c r="T118" i="36"/>
  <c r="P118" i="36"/>
  <c r="X118" i="36" s="1"/>
  <c r="Z118" i="36" s="1"/>
  <c r="H118" i="36"/>
  <c r="D118" i="36"/>
  <c r="L118" i="36" s="1"/>
  <c r="N118" i="36" s="1"/>
  <c r="B118" i="36"/>
  <c r="Z117" i="36"/>
  <c r="X117" i="36"/>
  <c r="N117" i="36"/>
  <c r="L117" i="36"/>
  <c r="B117" i="36"/>
  <c r="Z116" i="36"/>
  <c r="X116" i="36"/>
  <c r="V116" i="36"/>
  <c r="N116" i="36"/>
  <c r="L116" i="36"/>
  <c r="J116" i="36"/>
  <c r="B116" i="36"/>
  <c r="X115" i="36"/>
  <c r="Z115" i="36" s="1"/>
  <c r="L115" i="36"/>
  <c r="N115" i="36" s="1"/>
  <c r="B115" i="36"/>
  <c r="Z114" i="36"/>
  <c r="X114" i="36"/>
  <c r="V114" i="36"/>
  <c r="T114" i="36"/>
  <c r="P114" i="36"/>
  <c r="H114" i="36"/>
  <c r="D114" i="36"/>
  <c r="L114" i="36" s="1"/>
  <c r="B114" i="36"/>
  <c r="Z113" i="36"/>
  <c r="X113" i="36"/>
  <c r="N113" i="36"/>
  <c r="L113" i="36"/>
  <c r="B113" i="36"/>
  <c r="T112" i="36"/>
  <c r="P112" i="36"/>
  <c r="L112" i="36"/>
  <c r="N112" i="36" s="1"/>
  <c r="H112" i="36"/>
  <c r="D112" i="36"/>
  <c r="B112" i="36"/>
  <c r="X111" i="36"/>
  <c r="Z111" i="36" s="1"/>
  <c r="V111" i="36"/>
  <c r="L111" i="36"/>
  <c r="N111" i="36" s="1"/>
  <c r="B111" i="36"/>
  <c r="Z110" i="36"/>
  <c r="X110" i="36"/>
  <c r="L110" i="36"/>
  <c r="N110" i="36" s="1"/>
  <c r="J110" i="36"/>
  <c r="B110" i="36"/>
  <c r="T109" i="36"/>
  <c r="Z109" i="36" s="1"/>
  <c r="P109" i="36"/>
  <c r="X109" i="36" s="1"/>
  <c r="L109" i="36"/>
  <c r="J109" i="36"/>
  <c r="H109" i="36"/>
  <c r="N109" i="36" s="1"/>
  <c r="D109" i="36"/>
  <c r="B109" i="36"/>
  <c r="X108" i="36"/>
  <c r="Z108" i="36" s="1"/>
  <c r="V108" i="36"/>
  <c r="L108" i="36"/>
  <c r="N108" i="36" s="1"/>
  <c r="J108" i="36"/>
  <c r="B108" i="36"/>
  <c r="X107" i="36"/>
  <c r="Z107" i="36" s="1"/>
  <c r="L107" i="36"/>
  <c r="N107" i="36" s="1"/>
  <c r="B107" i="36"/>
  <c r="Z106" i="36"/>
  <c r="X106" i="36"/>
  <c r="V106" i="36"/>
  <c r="N106" i="36"/>
  <c r="L106" i="36"/>
  <c r="B106" i="36"/>
  <c r="X105" i="36"/>
  <c r="Z105" i="36" s="1"/>
  <c r="N105" i="36"/>
  <c r="L105" i="36"/>
  <c r="B105" i="36"/>
  <c r="X104" i="36"/>
  <c r="Z104" i="36" s="1"/>
  <c r="V104" i="36"/>
  <c r="L104" i="36"/>
  <c r="N104" i="36" s="1"/>
  <c r="J104" i="36"/>
  <c r="B104" i="36"/>
  <c r="X103" i="36"/>
  <c r="Z103" i="36" s="1"/>
  <c r="L103" i="36"/>
  <c r="N103" i="36" s="1"/>
  <c r="B103" i="36"/>
  <c r="Z102" i="36"/>
  <c r="X102" i="36"/>
  <c r="V102" i="36"/>
  <c r="L102" i="36"/>
  <c r="N102" i="36" s="1"/>
  <c r="B102" i="36"/>
  <c r="X101" i="36"/>
  <c r="Z101" i="36" s="1"/>
  <c r="N101" i="36"/>
  <c r="L101" i="36"/>
  <c r="B101" i="36"/>
  <c r="X100" i="36"/>
  <c r="Z100" i="36" s="1"/>
  <c r="V100" i="36"/>
  <c r="L100" i="36"/>
  <c r="N100" i="36" s="1"/>
  <c r="J100" i="36"/>
  <c r="B100" i="36"/>
  <c r="X99" i="36"/>
  <c r="Z99" i="36" s="1"/>
  <c r="L99" i="36"/>
  <c r="N99" i="36" s="1"/>
  <c r="B99" i="36"/>
  <c r="X98" i="36"/>
  <c r="Z98" i="36" s="1"/>
  <c r="V98" i="36"/>
  <c r="L98" i="36"/>
  <c r="N98" i="36" s="1"/>
  <c r="B98" i="36"/>
  <c r="T97" i="36"/>
  <c r="P97" i="36"/>
  <c r="H97" i="36"/>
  <c r="D97" i="36"/>
  <c r="L97" i="36" s="1"/>
  <c r="B97" i="36"/>
  <c r="X96" i="36"/>
  <c r="Z96" i="36" s="1"/>
  <c r="V96" i="36"/>
  <c r="N96" i="36"/>
  <c r="L96" i="36"/>
  <c r="B96" i="36"/>
  <c r="X95" i="36"/>
  <c r="Z95" i="36" s="1"/>
  <c r="N95" i="36"/>
  <c r="L95" i="36"/>
  <c r="J95" i="36"/>
  <c r="B95" i="36"/>
  <c r="X94" i="36"/>
  <c r="Z94" i="36" s="1"/>
  <c r="T94" i="36"/>
  <c r="P94" i="36"/>
  <c r="H94" i="36"/>
  <c r="D94" i="36"/>
  <c r="B94" i="36"/>
  <c r="Z93" i="36"/>
  <c r="X93" i="36"/>
  <c r="L93" i="36"/>
  <c r="N93" i="36" s="1"/>
  <c r="B93" i="36"/>
  <c r="Z92" i="36"/>
  <c r="X92" i="36"/>
  <c r="L92" i="36"/>
  <c r="N92" i="36" s="1"/>
  <c r="J92" i="36"/>
  <c r="B92" i="36"/>
  <c r="X91" i="36"/>
  <c r="Z91" i="36" s="1"/>
  <c r="V91" i="36"/>
  <c r="L91" i="36"/>
  <c r="N91" i="36" s="1"/>
  <c r="B91" i="36"/>
  <c r="Z90" i="36"/>
  <c r="X90" i="36"/>
  <c r="N90" i="36"/>
  <c r="L90" i="36"/>
  <c r="J90" i="36"/>
  <c r="B90" i="36"/>
  <c r="Z89" i="36"/>
  <c r="X89" i="36"/>
  <c r="L89" i="36"/>
  <c r="N89" i="36" s="1"/>
  <c r="B89" i="36"/>
  <c r="T88" i="36"/>
  <c r="P88" i="36"/>
  <c r="X88" i="36" s="1"/>
  <c r="Z88" i="36" s="1"/>
  <c r="H88" i="36"/>
  <c r="D88" i="36"/>
  <c r="L88" i="36" s="1"/>
  <c r="N88" i="36" s="1"/>
  <c r="B88" i="36"/>
  <c r="Z87" i="36"/>
  <c r="X87" i="36"/>
  <c r="N87" i="36"/>
  <c r="L87" i="36"/>
  <c r="B87" i="36"/>
  <c r="Z86" i="36"/>
  <c r="X86" i="36"/>
  <c r="V86" i="36"/>
  <c r="N86" i="36"/>
  <c r="L86" i="36"/>
  <c r="B86" i="36"/>
  <c r="T85" i="36"/>
  <c r="Z85" i="36" s="1"/>
  <c r="P85" i="36"/>
  <c r="H85" i="36"/>
  <c r="N85" i="36" s="1"/>
  <c r="D85" i="36"/>
  <c r="L85" i="36" s="1"/>
  <c r="B85" i="36"/>
  <c r="Z84" i="36"/>
  <c r="X84" i="36"/>
  <c r="V84" i="36"/>
  <c r="N84" i="36"/>
  <c r="L84" i="36"/>
  <c r="B84" i="36"/>
  <c r="X83" i="36"/>
  <c r="Z83" i="36" s="1"/>
  <c r="L83" i="36"/>
  <c r="N83" i="36" s="1"/>
  <c r="J83" i="36"/>
  <c r="B83" i="36"/>
  <c r="X82" i="36"/>
  <c r="Z82" i="36" s="1"/>
  <c r="N82" i="36"/>
  <c r="L82" i="36"/>
  <c r="B82" i="36"/>
  <c r="Z81" i="36"/>
  <c r="X81" i="36"/>
  <c r="N81" i="36"/>
  <c r="L81" i="36"/>
  <c r="B81" i="36"/>
  <c r="T80" i="36"/>
  <c r="P80" i="36"/>
  <c r="L80" i="36"/>
  <c r="N80" i="36" s="1"/>
  <c r="H80" i="36"/>
  <c r="D80" i="36"/>
  <c r="B80" i="36"/>
  <c r="X79" i="36"/>
  <c r="Z79" i="36" s="1"/>
  <c r="V79" i="36"/>
  <c r="L79" i="36"/>
  <c r="N79" i="36" s="1"/>
  <c r="B79" i="36"/>
  <c r="T78" i="36"/>
  <c r="P78" i="36"/>
  <c r="X78" i="36" s="1"/>
  <c r="Z78" i="36" s="1"/>
  <c r="H78" i="36"/>
  <c r="D78" i="36"/>
  <c r="L78" i="36" s="1"/>
  <c r="N78" i="36" s="1"/>
  <c r="B78" i="36"/>
  <c r="X77" i="36"/>
  <c r="Z77" i="36" s="1"/>
  <c r="N77" i="36"/>
  <c r="L77" i="36"/>
  <c r="B77" i="36"/>
  <c r="V76" i="36"/>
  <c r="T76" i="36"/>
  <c r="P76" i="36"/>
  <c r="X76" i="36" s="1"/>
  <c r="N76" i="36"/>
  <c r="L76" i="36"/>
  <c r="J76" i="36"/>
  <c r="H76" i="36"/>
  <c r="D76" i="36"/>
  <c r="B76" i="36"/>
  <c r="X75" i="36"/>
  <c r="Z75" i="36" s="1"/>
  <c r="L75" i="36"/>
  <c r="N75" i="36" s="1"/>
  <c r="J75" i="36"/>
  <c r="B75" i="36"/>
  <c r="X74" i="36"/>
  <c r="T74" i="36"/>
  <c r="Z74" i="36" s="1"/>
  <c r="P74" i="36"/>
  <c r="H74" i="36"/>
  <c r="D74" i="36"/>
  <c r="B74" i="36"/>
  <c r="Z73" i="36"/>
  <c r="X73" i="36"/>
  <c r="N73" i="36"/>
  <c r="L73" i="36"/>
  <c r="B73" i="36"/>
  <c r="T72" i="36"/>
  <c r="P72" i="36"/>
  <c r="X72" i="36" s="1"/>
  <c r="Z72" i="36" s="1"/>
  <c r="H72" i="36"/>
  <c r="D72" i="36"/>
  <c r="L72" i="36" s="1"/>
  <c r="N72" i="36" s="1"/>
  <c r="B72" i="36"/>
  <c r="X71" i="36"/>
  <c r="Z71" i="36" s="1"/>
  <c r="L71" i="36"/>
  <c r="N71" i="36" s="1"/>
  <c r="B71" i="36"/>
  <c r="X70" i="36"/>
  <c r="Z70" i="36" s="1"/>
  <c r="V70" i="36"/>
  <c r="T70" i="36"/>
  <c r="P70" i="36"/>
  <c r="J70" i="36"/>
  <c r="H70" i="36"/>
  <c r="N70" i="36" s="1"/>
  <c r="D70" i="36"/>
  <c r="L70" i="36" s="1"/>
  <c r="B70" i="36"/>
  <c r="Z69" i="36"/>
  <c r="X69" i="36"/>
  <c r="N69" i="36"/>
  <c r="L69" i="36"/>
  <c r="B69" i="36"/>
  <c r="T68" i="36"/>
  <c r="P68" i="36"/>
  <c r="L68" i="36"/>
  <c r="H68" i="36"/>
  <c r="N68" i="36" s="1"/>
  <c r="D68" i="36"/>
  <c r="B68" i="36"/>
  <c r="X67" i="36"/>
  <c r="Z67" i="36" s="1"/>
  <c r="V67" i="36"/>
  <c r="L67" i="36"/>
  <c r="N67" i="36" s="1"/>
  <c r="B67" i="36"/>
  <c r="T66" i="36"/>
  <c r="P66" i="36"/>
  <c r="X66" i="36" s="1"/>
  <c r="Z66" i="36" s="1"/>
  <c r="H66" i="36"/>
  <c r="D66" i="36"/>
  <c r="L66" i="36" s="1"/>
  <c r="N66" i="36" s="1"/>
  <c r="B66" i="36"/>
  <c r="Z65" i="36"/>
  <c r="X65" i="36"/>
  <c r="N65" i="36"/>
  <c r="L65" i="36"/>
  <c r="B65" i="36"/>
  <c r="V64" i="36"/>
  <c r="T64" i="36"/>
  <c r="P64" i="36"/>
  <c r="X64" i="36" s="1"/>
  <c r="L64" i="36"/>
  <c r="N64" i="36" s="1"/>
  <c r="J64" i="36"/>
  <c r="H64" i="36"/>
  <c r="D64" i="36"/>
  <c r="B64" i="36"/>
  <c r="X63" i="36"/>
  <c r="Z63" i="36" s="1"/>
  <c r="L63" i="36"/>
  <c r="N63" i="36" s="1"/>
  <c r="J63" i="36"/>
  <c r="B63" i="36"/>
  <c r="X62" i="36"/>
  <c r="T62" i="36"/>
  <c r="Z62" i="36" s="1"/>
  <c r="P62" i="36"/>
  <c r="J62" i="36"/>
  <c r="H62" i="36"/>
  <c r="D62" i="36"/>
  <c r="B62" i="36"/>
  <c r="Z61" i="36"/>
  <c r="X61" i="36"/>
  <c r="N61" i="36"/>
  <c r="L61" i="36"/>
  <c r="B61" i="36"/>
  <c r="Z60" i="36"/>
  <c r="X60" i="36"/>
  <c r="L60" i="36"/>
  <c r="N60" i="36" s="1"/>
  <c r="J60" i="36"/>
  <c r="B60" i="36"/>
  <c r="Z59" i="36"/>
  <c r="X59" i="36"/>
  <c r="V59" i="36"/>
  <c r="N59" i="36"/>
  <c r="L59" i="36"/>
  <c r="B59" i="36"/>
  <c r="T58" i="36"/>
  <c r="P58" i="36"/>
  <c r="X58" i="36" s="1"/>
  <c r="Z58" i="36" s="1"/>
  <c r="H58" i="36"/>
  <c r="D58" i="36"/>
  <c r="L58" i="36" s="1"/>
  <c r="N58" i="36" s="1"/>
  <c r="B58" i="36"/>
  <c r="Z57" i="36"/>
  <c r="X57" i="36"/>
  <c r="N57" i="36"/>
  <c r="L57" i="36"/>
  <c r="B57" i="36"/>
  <c r="V56" i="36"/>
  <c r="T56" i="36"/>
  <c r="P56" i="36"/>
  <c r="L56" i="36"/>
  <c r="N56" i="36" s="1"/>
  <c r="J56" i="36"/>
  <c r="H56" i="36"/>
  <c r="D56" i="36"/>
  <c r="B56" i="36"/>
  <c r="X55" i="36"/>
  <c r="Z55" i="36" s="1"/>
  <c r="L55" i="36"/>
  <c r="N55" i="36" s="1"/>
  <c r="J55" i="36"/>
  <c r="B55" i="36"/>
  <c r="X54" i="36"/>
  <c r="T54" i="36"/>
  <c r="Z54" i="36" s="1"/>
  <c r="P54" i="36"/>
  <c r="H54" i="36"/>
  <c r="D54" i="36"/>
  <c r="B54" i="36"/>
  <c r="Z53" i="36"/>
  <c r="X53" i="36"/>
  <c r="N53" i="36"/>
  <c r="L53" i="36"/>
  <c r="B53" i="36"/>
  <c r="Z52" i="36"/>
  <c r="T52" i="36"/>
  <c r="P52" i="36"/>
  <c r="X52" i="36" s="1"/>
  <c r="H52" i="36"/>
  <c r="D52" i="36"/>
  <c r="L52" i="36" s="1"/>
  <c r="N52" i="36" s="1"/>
  <c r="B52" i="36"/>
  <c r="Z51" i="36"/>
  <c r="X51" i="36"/>
  <c r="V51" i="36"/>
  <c r="N51" i="36"/>
  <c r="L51" i="36"/>
  <c r="B51" i="36"/>
  <c r="Z50" i="36"/>
  <c r="X50" i="36"/>
  <c r="V50" i="36"/>
  <c r="N50" i="36"/>
  <c r="L50" i="36"/>
  <c r="B50" i="36"/>
  <c r="Z49" i="36"/>
  <c r="X49" i="36"/>
  <c r="L49" i="36"/>
  <c r="N49" i="36" s="1"/>
  <c r="B49" i="36"/>
  <c r="X48" i="36"/>
  <c r="Z48" i="36" s="1"/>
  <c r="V48" i="36"/>
  <c r="N48" i="36"/>
  <c r="L48" i="36"/>
  <c r="J48" i="36"/>
  <c r="B48" i="36"/>
  <c r="Z47" i="36"/>
  <c r="X47" i="36"/>
  <c r="V47" i="36"/>
  <c r="N47" i="36"/>
  <c r="L47" i="36"/>
  <c r="B47" i="36"/>
  <c r="X46" i="36"/>
  <c r="Z46" i="36" s="1"/>
  <c r="V46" i="36"/>
  <c r="L46" i="36"/>
  <c r="N46" i="36" s="1"/>
  <c r="B46" i="36"/>
  <c r="Z45" i="36"/>
  <c r="X45" i="36"/>
  <c r="L45" i="36"/>
  <c r="N45" i="36" s="1"/>
  <c r="B45" i="36"/>
  <c r="Z44" i="36"/>
  <c r="X44" i="36"/>
  <c r="V44" i="36"/>
  <c r="N44" i="36"/>
  <c r="L44" i="36"/>
  <c r="J44" i="36"/>
  <c r="B44" i="36"/>
  <c r="X43" i="36"/>
  <c r="Z43" i="36" s="1"/>
  <c r="V43" i="36"/>
  <c r="L43" i="36"/>
  <c r="N43" i="36" s="1"/>
  <c r="B43" i="36"/>
  <c r="X42" i="36"/>
  <c r="Z42" i="36" s="1"/>
  <c r="V42" i="36"/>
  <c r="L42" i="36"/>
  <c r="N42" i="36" s="1"/>
  <c r="B42" i="36"/>
  <c r="T41" i="36"/>
  <c r="P41" i="36"/>
  <c r="X41" i="36" s="1"/>
  <c r="H41" i="36"/>
  <c r="D41" i="36"/>
  <c r="L41" i="36" s="1"/>
  <c r="N41" i="36" s="1"/>
  <c r="B41" i="36"/>
  <c r="X40" i="36"/>
  <c r="Z40" i="36" s="1"/>
  <c r="V40" i="36"/>
  <c r="N40" i="36"/>
  <c r="L40" i="36"/>
  <c r="B40" i="36"/>
  <c r="X39" i="36"/>
  <c r="Z39" i="36" s="1"/>
  <c r="L39" i="36"/>
  <c r="N39" i="36" s="1"/>
  <c r="J39" i="36"/>
  <c r="B39" i="36"/>
  <c r="X38" i="36"/>
  <c r="Z38" i="36" s="1"/>
  <c r="N38" i="36"/>
  <c r="L38" i="36"/>
  <c r="B38" i="36"/>
  <c r="Z37" i="36"/>
  <c r="X37" i="36"/>
  <c r="N37" i="36"/>
  <c r="L37" i="36"/>
  <c r="B37" i="36"/>
  <c r="Z36" i="36"/>
  <c r="X36" i="36"/>
  <c r="V36" i="36"/>
  <c r="N36" i="36"/>
  <c r="L36" i="36"/>
  <c r="B36" i="36"/>
  <c r="X35" i="36"/>
  <c r="Z35" i="36" s="1"/>
  <c r="V35" i="36"/>
  <c r="L35" i="36"/>
  <c r="N35" i="36" s="1"/>
  <c r="J35" i="36"/>
  <c r="B35" i="36"/>
  <c r="X34" i="36"/>
  <c r="Z34" i="36" s="1"/>
  <c r="N34" i="36"/>
  <c r="L34" i="36"/>
  <c r="B34" i="36"/>
  <c r="X33" i="36"/>
  <c r="Z33" i="36" s="1"/>
  <c r="N33" i="36"/>
  <c r="L33" i="36"/>
  <c r="B33" i="36"/>
  <c r="X32" i="36"/>
  <c r="Z32" i="36" s="1"/>
  <c r="V32" i="36"/>
  <c r="N32" i="36"/>
  <c r="L32" i="36"/>
  <c r="B32" i="36"/>
  <c r="X31" i="36"/>
  <c r="Z31" i="36" s="1"/>
  <c r="V31" i="36"/>
  <c r="L31" i="36"/>
  <c r="N31" i="36" s="1"/>
  <c r="J31" i="36"/>
  <c r="B31" i="36"/>
  <c r="X30" i="36"/>
  <c r="T30" i="36"/>
  <c r="Z30" i="36" s="1"/>
  <c r="P30" i="36"/>
  <c r="J30" i="36"/>
  <c r="H30" i="36"/>
  <c r="D30" i="36"/>
  <c r="B30" i="36"/>
  <c r="T29" i="36"/>
  <c r="P29" i="36"/>
  <c r="X29" i="36" s="1"/>
  <c r="H29" i="36"/>
  <c r="D29" i="36"/>
  <c r="T27" i="36"/>
  <c r="H27" i="36"/>
  <c r="Z25" i="36"/>
  <c r="X25" i="36"/>
  <c r="V25" i="36"/>
  <c r="N25" i="36"/>
  <c r="L25" i="36"/>
  <c r="B25" i="36"/>
  <c r="Z24" i="36"/>
  <c r="X24" i="36"/>
  <c r="V24" i="36"/>
  <c r="N24" i="36"/>
  <c r="L24" i="36"/>
  <c r="J24" i="36"/>
  <c r="B24" i="36"/>
  <c r="X23" i="36"/>
  <c r="Z23" i="36" s="1"/>
  <c r="V23" i="36"/>
  <c r="L23" i="36"/>
  <c r="N23" i="36" s="1"/>
  <c r="B23" i="36"/>
  <c r="Z22" i="36"/>
  <c r="V22" i="36"/>
  <c r="T22" i="36"/>
  <c r="P22" i="36"/>
  <c r="X22" i="36" s="1"/>
  <c r="H22" i="36"/>
  <c r="D22" i="36"/>
  <c r="L22" i="36" s="1"/>
  <c r="N22" i="36" s="1"/>
  <c r="Z20" i="36"/>
  <c r="P20" i="36"/>
  <c r="X20" i="36" s="1"/>
  <c r="N20" i="36"/>
  <c r="D20" i="36"/>
  <c r="L20" i="36" s="1"/>
  <c r="B20" i="36"/>
  <c r="Z19" i="36"/>
  <c r="P19" i="36"/>
  <c r="X19" i="36" s="1"/>
  <c r="N19" i="36"/>
  <c r="D19" i="36"/>
  <c r="L19" i="36" s="1"/>
  <c r="B19" i="36"/>
  <c r="P18" i="36"/>
  <c r="X18" i="36" s="1"/>
  <c r="Z18" i="36" s="1"/>
  <c r="L18" i="36"/>
  <c r="N18" i="36" s="1"/>
  <c r="D18" i="36"/>
  <c r="B18" i="36"/>
  <c r="Z17" i="36"/>
  <c r="P17" i="36"/>
  <c r="X17" i="36" s="1"/>
  <c r="N17" i="36"/>
  <c r="D17" i="36"/>
  <c r="L17" i="36" s="1"/>
  <c r="B17" i="36"/>
  <c r="Z16" i="36"/>
  <c r="P16" i="36"/>
  <c r="X16" i="36" s="1"/>
  <c r="N16" i="36"/>
  <c r="D16" i="36"/>
  <c r="L16" i="36" s="1"/>
  <c r="B16" i="36"/>
  <c r="Z15" i="36"/>
  <c r="X15" i="36"/>
  <c r="P15" i="36"/>
  <c r="N15" i="36"/>
  <c r="D15" i="36"/>
  <c r="L15" i="36" s="1"/>
  <c r="B15" i="36"/>
  <c r="Z14" i="36"/>
  <c r="P14" i="36"/>
  <c r="X14" i="36" s="1"/>
  <c r="N14" i="36"/>
  <c r="D14" i="36"/>
  <c r="L14" i="36" s="1"/>
  <c r="B14" i="36"/>
  <c r="X13" i="36"/>
  <c r="Z13" i="36" s="1"/>
  <c r="P13" i="36"/>
  <c r="N13" i="36"/>
  <c r="L13" i="36"/>
  <c r="D13" i="36"/>
  <c r="B13" i="36"/>
  <c r="T12" i="36"/>
  <c r="V123" i="36" s="1"/>
  <c r="H12" i="36"/>
  <c r="D4" i="36"/>
  <c r="X84" i="33"/>
  <c r="Z84" i="33" s="1"/>
  <c r="L84" i="33"/>
  <c r="N84" i="33" s="1"/>
  <c r="X80" i="33"/>
  <c r="Z80" i="33" s="1"/>
  <c r="V80" i="33"/>
  <c r="P80" i="33"/>
  <c r="D80" i="33"/>
  <c r="B80" i="33"/>
  <c r="T79" i="33"/>
  <c r="P79" i="33"/>
  <c r="H79" i="33"/>
  <c r="Z77" i="33"/>
  <c r="X77" i="33"/>
  <c r="V77" i="33"/>
  <c r="N77" i="33"/>
  <c r="L77" i="33"/>
  <c r="B77" i="33"/>
  <c r="X76" i="33"/>
  <c r="T76" i="33"/>
  <c r="Z76" i="33" s="1"/>
  <c r="P76" i="33"/>
  <c r="N76" i="33"/>
  <c r="L76" i="33"/>
  <c r="H76" i="33"/>
  <c r="D76" i="33"/>
  <c r="B76" i="33"/>
  <c r="Z75" i="33"/>
  <c r="X75" i="33"/>
  <c r="N75" i="33"/>
  <c r="L75" i="33"/>
  <c r="J75" i="33"/>
  <c r="B75" i="33"/>
  <c r="T74" i="33"/>
  <c r="P74" i="33"/>
  <c r="X74" i="33" s="1"/>
  <c r="L74" i="33"/>
  <c r="H74" i="33"/>
  <c r="D74" i="33"/>
  <c r="B74" i="33"/>
  <c r="X73" i="33"/>
  <c r="Z73" i="33" s="1"/>
  <c r="V73" i="33"/>
  <c r="N73" i="33"/>
  <c r="L73" i="33"/>
  <c r="J73" i="33"/>
  <c r="B73" i="33"/>
  <c r="X72" i="33"/>
  <c r="Z72" i="33" s="1"/>
  <c r="L72" i="33"/>
  <c r="N72" i="33" s="1"/>
  <c r="B72" i="33"/>
  <c r="X71" i="33"/>
  <c r="Z71" i="33" s="1"/>
  <c r="V71" i="33"/>
  <c r="L71" i="33"/>
  <c r="N71" i="33" s="1"/>
  <c r="B71" i="33"/>
  <c r="Z70" i="33"/>
  <c r="X70" i="33"/>
  <c r="N70" i="33"/>
  <c r="L70" i="33"/>
  <c r="B70" i="33"/>
  <c r="Z69" i="33"/>
  <c r="X69" i="33"/>
  <c r="V69" i="33"/>
  <c r="N69" i="33"/>
  <c r="L69" i="33"/>
  <c r="J69" i="33"/>
  <c r="B69" i="33"/>
  <c r="T68" i="33"/>
  <c r="P68" i="33"/>
  <c r="X68" i="33" s="1"/>
  <c r="H68" i="33"/>
  <c r="D68" i="33"/>
  <c r="B68" i="33"/>
  <c r="X67" i="33"/>
  <c r="Z67" i="33" s="1"/>
  <c r="N67" i="33"/>
  <c r="L67" i="33"/>
  <c r="B67" i="33"/>
  <c r="X66" i="33"/>
  <c r="Z66" i="33" s="1"/>
  <c r="T66" i="33"/>
  <c r="P66" i="33"/>
  <c r="L66" i="33"/>
  <c r="N66" i="33" s="1"/>
  <c r="H66" i="33"/>
  <c r="D66" i="33"/>
  <c r="B66" i="33"/>
  <c r="Z65" i="33"/>
  <c r="X65" i="33"/>
  <c r="L65" i="33"/>
  <c r="N65" i="33" s="1"/>
  <c r="J65" i="33"/>
  <c r="B65" i="33"/>
  <c r="Z64" i="33"/>
  <c r="X64" i="33"/>
  <c r="V64" i="33"/>
  <c r="N64" i="33"/>
  <c r="L64" i="33"/>
  <c r="B64" i="33"/>
  <c r="Z63" i="33"/>
  <c r="T63" i="33"/>
  <c r="P63" i="33"/>
  <c r="X63" i="33" s="1"/>
  <c r="N63" i="33"/>
  <c r="H63" i="33"/>
  <c r="D63" i="33"/>
  <c r="L63" i="33" s="1"/>
  <c r="B63" i="33"/>
  <c r="X62" i="33"/>
  <c r="Z62" i="33" s="1"/>
  <c r="L62" i="33"/>
  <c r="N62" i="33" s="1"/>
  <c r="B62" i="33"/>
  <c r="X61" i="33"/>
  <c r="Z61" i="33" s="1"/>
  <c r="V61" i="33"/>
  <c r="N61" i="33"/>
  <c r="L61" i="33"/>
  <c r="J61" i="33"/>
  <c r="B61" i="33"/>
  <c r="T60" i="33"/>
  <c r="Z60" i="33" s="1"/>
  <c r="P60" i="33"/>
  <c r="X60" i="33" s="1"/>
  <c r="H60" i="33"/>
  <c r="D60" i="33"/>
  <c r="L60" i="33" s="1"/>
  <c r="B60" i="33"/>
  <c r="X59" i="33"/>
  <c r="Z59" i="33" s="1"/>
  <c r="N59" i="33"/>
  <c r="L59" i="33"/>
  <c r="B59" i="33"/>
  <c r="X58" i="33"/>
  <c r="Z58" i="33" s="1"/>
  <c r="T58" i="33"/>
  <c r="P58" i="33"/>
  <c r="H58" i="33"/>
  <c r="D58" i="33"/>
  <c r="L58" i="33" s="1"/>
  <c r="N58" i="33" s="1"/>
  <c r="B58" i="33"/>
  <c r="Z57" i="33"/>
  <c r="X57" i="33"/>
  <c r="L57" i="33"/>
  <c r="N57" i="33" s="1"/>
  <c r="J57" i="33"/>
  <c r="B57" i="33"/>
  <c r="V56" i="33"/>
  <c r="T56" i="33"/>
  <c r="P56" i="33"/>
  <c r="H56" i="33"/>
  <c r="D56" i="33"/>
  <c r="L56" i="33" s="1"/>
  <c r="B56" i="33"/>
  <c r="Z55" i="33"/>
  <c r="X55" i="33"/>
  <c r="V55" i="33"/>
  <c r="L55" i="33"/>
  <c r="N55" i="33" s="1"/>
  <c r="B55" i="33"/>
  <c r="T54" i="33"/>
  <c r="P54" i="33"/>
  <c r="X54" i="33" s="1"/>
  <c r="H54" i="33"/>
  <c r="D54" i="33"/>
  <c r="L54" i="33" s="1"/>
  <c r="B54" i="33"/>
  <c r="Z53" i="33"/>
  <c r="X53" i="33"/>
  <c r="V53" i="33"/>
  <c r="N53" i="33"/>
  <c r="L53" i="33"/>
  <c r="B53" i="33"/>
  <c r="X52" i="33"/>
  <c r="T52" i="33"/>
  <c r="P52" i="33"/>
  <c r="L52" i="33"/>
  <c r="N52" i="33" s="1"/>
  <c r="H52" i="33"/>
  <c r="D52" i="33"/>
  <c r="B52" i="33"/>
  <c r="Z51" i="33"/>
  <c r="X51" i="33"/>
  <c r="N51" i="33"/>
  <c r="L51" i="33"/>
  <c r="J51" i="33"/>
  <c r="B51" i="33"/>
  <c r="Z50" i="33"/>
  <c r="X50" i="33"/>
  <c r="N50" i="33"/>
  <c r="L50" i="33"/>
  <c r="B50" i="33"/>
  <c r="Z49" i="33"/>
  <c r="X49" i="33"/>
  <c r="N49" i="33"/>
  <c r="L49" i="33"/>
  <c r="J49" i="33"/>
  <c r="B49" i="33"/>
  <c r="Z48" i="33"/>
  <c r="X48" i="33"/>
  <c r="V48" i="33"/>
  <c r="N48" i="33"/>
  <c r="L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Z45" i="33"/>
  <c r="X45" i="33"/>
  <c r="N45" i="33"/>
  <c r="L45" i="33"/>
  <c r="J45" i="33"/>
  <c r="B45" i="33"/>
  <c r="Z44" i="33"/>
  <c r="X44" i="33"/>
  <c r="V44" i="33"/>
  <c r="N44" i="33"/>
  <c r="L44" i="33"/>
  <c r="B44" i="33"/>
  <c r="Z43" i="33"/>
  <c r="X43" i="33"/>
  <c r="V43" i="33"/>
  <c r="L43" i="33"/>
  <c r="N43" i="33" s="1"/>
  <c r="J43" i="33"/>
  <c r="B43" i="33"/>
  <c r="Z42" i="33"/>
  <c r="X42" i="33"/>
  <c r="N42" i="33"/>
  <c r="L42" i="33"/>
  <c r="B42" i="33"/>
  <c r="T41" i="33"/>
  <c r="P41" i="33"/>
  <c r="X41" i="33" s="1"/>
  <c r="Z41" i="33" s="1"/>
  <c r="N41" i="33"/>
  <c r="H41" i="33"/>
  <c r="D41" i="33"/>
  <c r="L41" i="33" s="1"/>
  <c r="B41" i="33"/>
  <c r="Z40" i="33"/>
  <c r="X40" i="33"/>
  <c r="V40" i="33"/>
  <c r="N40" i="33"/>
  <c r="L40" i="33"/>
  <c r="B40" i="33"/>
  <c r="X39" i="33"/>
  <c r="Z39" i="33" s="1"/>
  <c r="V39" i="33"/>
  <c r="L39" i="33"/>
  <c r="N39" i="33" s="1"/>
  <c r="B39" i="33"/>
  <c r="X38" i="33"/>
  <c r="Z38" i="33" s="1"/>
  <c r="L38" i="33"/>
  <c r="N38" i="33" s="1"/>
  <c r="B38" i="33"/>
  <c r="Z37" i="33"/>
  <c r="X37" i="33"/>
  <c r="V37" i="33"/>
  <c r="N37" i="33"/>
  <c r="L37" i="33"/>
  <c r="J37" i="33"/>
  <c r="B37" i="33"/>
  <c r="X36" i="33"/>
  <c r="Z36" i="33" s="1"/>
  <c r="V36" i="33"/>
  <c r="L36" i="33"/>
  <c r="N36" i="33" s="1"/>
  <c r="B36" i="33"/>
  <c r="X35" i="33"/>
  <c r="Z35" i="33" s="1"/>
  <c r="V35" i="33"/>
  <c r="L35" i="33"/>
  <c r="N35" i="33" s="1"/>
  <c r="B35" i="33"/>
  <c r="X34" i="33"/>
  <c r="Z34" i="33" s="1"/>
  <c r="N34" i="33"/>
  <c r="L34" i="33"/>
  <c r="B34" i="33"/>
  <c r="X33" i="33"/>
  <c r="Z33" i="33" s="1"/>
  <c r="V33" i="33"/>
  <c r="N33" i="33"/>
  <c r="L33" i="33"/>
  <c r="J33" i="33"/>
  <c r="B33" i="33"/>
  <c r="X32" i="33"/>
  <c r="Z32" i="33" s="1"/>
  <c r="V32" i="33"/>
  <c r="L32" i="33"/>
  <c r="N32" i="33" s="1"/>
  <c r="B32" i="33"/>
  <c r="X31" i="33"/>
  <c r="Z31" i="33" s="1"/>
  <c r="V31" i="33"/>
  <c r="T31" i="33"/>
  <c r="P31" i="33"/>
  <c r="L31" i="33"/>
  <c r="J31" i="33"/>
  <c r="H31" i="33"/>
  <c r="N31" i="33" s="1"/>
  <c r="D31" i="33"/>
  <c r="B31" i="33"/>
  <c r="Z30" i="33"/>
  <c r="X30" i="33"/>
  <c r="T30" i="33"/>
  <c r="P30" i="33"/>
  <c r="H30" i="33"/>
  <c r="D30" i="33"/>
  <c r="L30" i="33" s="1"/>
  <c r="Z26" i="33"/>
  <c r="X26" i="33"/>
  <c r="T26" i="33"/>
  <c r="T28" i="33" s="1"/>
  <c r="T82" i="33" s="1"/>
  <c r="P26" i="33"/>
  <c r="L26" i="33"/>
  <c r="H26" i="33"/>
  <c r="N26" i="33" s="1"/>
  <c r="D26" i="33"/>
  <c r="Z24" i="33"/>
  <c r="X24" i="33"/>
  <c r="P24" i="33"/>
  <c r="N24" i="33"/>
  <c r="L24" i="33"/>
  <c r="D24" i="33"/>
  <c r="B24" i="33"/>
  <c r="Z23" i="33"/>
  <c r="P23" i="33"/>
  <c r="X23" i="33" s="1"/>
  <c r="N23" i="33"/>
  <c r="L23" i="33"/>
  <c r="D23" i="33"/>
  <c r="B23" i="33"/>
  <c r="Z22" i="33"/>
  <c r="P22" i="33"/>
  <c r="X22" i="33" s="1"/>
  <c r="N22" i="33"/>
  <c r="D22" i="33"/>
  <c r="L22" i="33" s="1"/>
  <c r="B22" i="33"/>
  <c r="Z21" i="33"/>
  <c r="P21" i="33"/>
  <c r="X21" i="33" s="1"/>
  <c r="N21" i="33"/>
  <c r="L21" i="33"/>
  <c r="D21" i="33"/>
  <c r="B21" i="33"/>
  <c r="Z20" i="33"/>
  <c r="P20" i="33"/>
  <c r="X20" i="33" s="1"/>
  <c r="N20" i="33"/>
  <c r="D20" i="33"/>
  <c r="L20" i="33" s="1"/>
  <c r="B20" i="33"/>
  <c r="Z19" i="33"/>
  <c r="X19" i="33"/>
  <c r="P19" i="33"/>
  <c r="N19" i="33"/>
  <c r="D19" i="33"/>
  <c r="L19" i="33" s="1"/>
  <c r="B19" i="33"/>
  <c r="X18" i="33"/>
  <c r="Z18" i="33" s="1"/>
  <c r="P18" i="33"/>
  <c r="D18" i="33"/>
  <c r="L18" i="33" s="1"/>
  <c r="N18" i="33" s="1"/>
  <c r="B18" i="33"/>
  <c r="Z17" i="33"/>
  <c r="P17" i="33"/>
  <c r="X17" i="33" s="1"/>
  <c r="N17" i="33"/>
  <c r="L17" i="33"/>
  <c r="D17" i="33"/>
  <c r="B17" i="33"/>
  <c r="Z16" i="33"/>
  <c r="X16" i="33"/>
  <c r="P16" i="33"/>
  <c r="N16" i="33"/>
  <c r="L16" i="33"/>
  <c r="D16" i="33"/>
  <c r="B16" i="33"/>
  <c r="Z15" i="33"/>
  <c r="X15" i="33"/>
  <c r="P15" i="33"/>
  <c r="N15" i="33"/>
  <c r="L15" i="33"/>
  <c r="D15" i="33"/>
  <c r="B15" i="33"/>
  <c r="Z14" i="33"/>
  <c r="P14" i="33"/>
  <c r="X14" i="33" s="1"/>
  <c r="N14" i="33"/>
  <c r="D14" i="33"/>
  <c r="L14" i="33" s="1"/>
  <c r="B14" i="33"/>
  <c r="P13" i="33"/>
  <c r="L13" i="33"/>
  <c r="N13" i="33" s="1"/>
  <c r="D13" i="33"/>
  <c r="B13" i="33"/>
  <c r="T12" i="33"/>
  <c r="V66" i="33" s="1"/>
  <c r="H12" i="33"/>
  <c r="J76" i="33" s="1"/>
  <c r="D4" i="33"/>
  <c r="X169" i="30"/>
  <c r="Z169" i="30" s="1"/>
  <c r="L169" i="30"/>
  <c r="N169" i="30" s="1"/>
  <c r="Z165" i="30"/>
  <c r="P165" i="30"/>
  <c r="X165" i="30" s="1"/>
  <c r="N165" i="30"/>
  <c r="L165" i="30"/>
  <c r="D165" i="30"/>
  <c r="B165" i="30"/>
  <c r="X164" i="30"/>
  <c r="Z164" i="30" s="1"/>
  <c r="P164" i="30"/>
  <c r="N164" i="30"/>
  <c r="D164" i="30"/>
  <c r="D162" i="30" s="1"/>
  <c r="L162" i="30" s="1"/>
  <c r="B164" i="30"/>
  <c r="Z163" i="30"/>
  <c r="X163" i="30"/>
  <c r="P163" i="30"/>
  <c r="L163" i="30"/>
  <c r="N163" i="30" s="1"/>
  <c r="D163" i="30"/>
  <c r="B163" i="30"/>
  <c r="T162" i="30"/>
  <c r="P162" i="30"/>
  <c r="X162" i="30" s="1"/>
  <c r="H162" i="30"/>
  <c r="X160" i="30"/>
  <c r="Z160" i="30" s="1"/>
  <c r="L160" i="30"/>
  <c r="N160" i="30" s="1"/>
  <c r="B160" i="30"/>
  <c r="T159" i="30"/>
  <c r="P159" i="30"/>
  <c r="H159" i="30"/>
  <c r="D159" i="30"/>
  <c r="L159" i="30" s="1"/>
  <c r="N159" i="30" s="1"/>
  <c r="B159" i="30"/>
  <c r="X158" i="30"/>
  <c r="Z158" i="30" s="1"/>
  <c r="L158" i="30"/>
  <c r="N158" i="30" s="1"/>
  <c r="B158" i="30"/>
  <c r="Z157" i="30"/>
  <c r="X157" i="30"/>
  <c r="L157" i="30"/>
  <c r="N157" i="30" s="1"/>
  <c r="J157" i="30"/>
  <c r="B157" i="30"/>
  <c r="X156" i="30"/>
  <c r="T156" i="30"/>
  <c r="Z156" i="30" s="1"/>
  <c r="P156" i="30"/>
  <c r="H156" i="30"/>
  <c r="D156" i="30"/>
  <c r="B156" i="30"/>
  <c r="Z155" i="30"/>
  <c r="X155" i="30"/>
  <c r="N155" i="30"/>
  <c r="L155" i="30"/>
  <c r="B155" i="30"/>
  <c r="T154" i="30"/>
  <c r="P154" i="30"/>
  <c r="X154" i="30" s="1"/>
  <c r="Z154" i="30" s="1"/>
  <c r="N154" i="30"/>
  <c r="H154" i="30"/>
  <c r="D154" i="30"/>
  <c r="L154" i="30" s="1"/>
  <c r="B154" i="30"/>
  <c r="X153" i="30"/>
  <c r="Z153" i="30" s="1"/>
  <c r="L153" i="30"/>
  <c r="N153" i="30" s="1"/>
  <c r="B153" i="30"/>
  <c r="X152" i="30"/>
  <c r="Z152" i="30" s="1"/>
  <c r="L152" i="30"/>
  <c r="N152" i="30" s="1"/>
  <c r="B152" i="30"/>
  <c r="T151" i="30"/>
  <c r="P151" i="30"/>
  <c r="X151" i="30" s="1"/>
  <c r="H151" i="30"/>
  <c r="D151" i="30"/>
  <c r="L151" i="30" s="1"/>
  <c r="N151" i="30" s="1"/>
  <c r="B151" i="30"/>
  <c r="X150" i="30"/>
  <c r="Z150" i="30" s="1"/>
  <c r="N150" i="30"/>
  <c r="L150" i="30"/>
  <c r="B150" i="30"/>
  <c r="X149" i="30"/>
  <c r="Z149" i="30" s="1"/>
  <c r="L149" i="30"/>
  <c r="N149" i="30" s="1"/>
  <c r="J149" i="30"/>
  <c r="B149" i="30"/>
  <c r="X148" i="30"/>
  <c r="Z148" i="30" s="1"/>
  <c r="N148" i="30"/>
  <c r="L148" i="30"/>
  <c r="B148" i="30"/>
  <c r="Z147" i="30"/>
  <c r="X147" i="30"/>
  <c r="N147" i="30"/>
  <c r="L147" i="30"/>
  <c r="B147" i="30"/>
  <c r="X146" i="30"/>
  <c r="Z146" i="30" s="1"/>
  <c r="V146" i="30"/>
  <c r="N146" i="30"/>
  <c r="L146" i="30"/>
  <c r="B146" i="30"/>
  <c r="X145" i="30"/>
  <c r="Z145" i="30" s="1"/>
  <c r="L145" i="30"/>
  <c r="N145" i="30" s="1"/>
  <c r="J145" i="30"/>
  <c r="B145" i="30"/>
  <c r="X144" i="30"/>
  <c r="Z144" i="30" s="1"/>
  <c r="N144" i="30"/>
  <c r="L144" i="30"/>
  <c r="B144" i="30"/>
  <c r="Z143" i="30"/>
  <c r="X143" i="30"/>
  <c r="N143" i="30"/>
  <c r="L143" i="30"/>
  <c r="B143" i="30"/>
  <c r="T142" i="30"/>
  <c r="P142" i="30"/>
  <c r="L142" i="30"/>
  <c r="H142" i="30"/>
  <c r="N142" i="30" s="1"/>
  <c r="D142" i="30"/>
  <c r="B142" i="30"/>
  <c r="Z141" i="30"/>
  <c r="X141" i="30"/>
  <c r="N141" i="30"/>
  <c r="L141" i="30"/>
  <c r="B141" i="30"/>
  <c r="Z140" i="30"/>
  <c r="X140" i="30"/>
  <c r="N140" i="30"/>
  <c r="L140" i="30"/>
  <c r="J140" i="30"/>
  <c r="B140" i="30"/>
  <c r="T139" i="30"/>
  <c r="Z139" i="30" s="1"/>
  <c r="P139" i="30"/>
  <c r="X139" i="30" s="1"/>
  <c r="L139" i="30"/>
  <c r="J139" i="30"/>
  <c r="H139" i="30"/>
  <c r="N139" i="30" s="1"/>
  <c r="D139" i="30"/>
  <c r="B139" i="30"/>
  <c r="X138" i="30"/>
  <c r="Z138" i="30" s="1"/>
  <c r="L138" i="30"/>
  <c r="N138" i="30" s="1"/>
  <c r="J138" i="30"/>
  <c r="B138" i="30"/>
  <c r="X137" i="30"/>
  <c r="Z137" i="30" s="1"/>
  <c r="L137" i="30"/>
  <c r="N137" i="30" s="1"/>
  <c r="B137" i="30"/>
  <c r="Z136" i="30"/>
  <c r="X136" i="30"/>
  <c r="N136" i="30"/>
  <c r="L136" i="30"/>
  <c r="B136" i="30"/>
  <c r="T135" i="30"/>
  <c r="P135" i="30"/>
  <c r="X135" i="30" s="1"/>
  <c r="H135" i="30"/>
  <c r="N135" i="30" s="1"/>
  <c r="D135" i="30"/>
  <c r="L135" i="30" s="1"/>
  <c r="B135" i="30"/>
  <c r="X134" i="30"/>
  <c r="Z134" i="30" s="1"/>
  <c r="N134" i="30"/>
  <c r="L134" i="30"/>
  <c r="B134" i="30"/>
  <c r="X133" i="30"/>
  <c r="Z133" i="30" s="1"/>
  <c r="L133" i="30"/>
  <c r="N133" i="30" s="1"/>
  <c r="J133" i="30"/>
  <c r="B133" i="30"/>
  <c r="X132" i="30"/>
  <c r="Z132" i="30" s="1"/>
  <c r="N132" i="30"/>
  <c r="L132" i="30"/>
  <c r="B132" i="30"/>
  <c r="Z131" i="30"/>
  <c r="X131" i="30"/>
  <c r="T131" i="30"/>
  <c r="P131" i="30"/>
  <c r="H131" i="30"/>
  <c r="D131" i="30"/>
  <c r="L131" i="30" s="1"/>
  <c r="B131" i="30"/>
  <c r="Z130" i="30"/>
  <c r="X130" i="30"/>
  <c r="L130" i="30"/>
  <c r="N130" i="30" s="1"/>
  <c r="B130" i="30"/>
  <c r="Z129" i="30"/>
  <c r="X129" i="30"/>
  <c r="N129" i="30"/>
  <c r="L129" i="30"/>
  <c r="B129" i="30"/>
  <c r="Z128" i="30"/>
  <c r="X128" i="30"/>
  <c r="N128" i="30"/>
  <c r="L128" i="30"/>
  <c r="J128" i="30"/>
  <c r="B128" i="30"/>
  <c r="T127" i="30"/>
  <c r="Z127" i="30" s="1"/>
  <c r="P127" i="30"/>
  <c r="X127" i="30" s="1"/>
  <c r="L127" i="30"/>
  <c r="J127" i="30"/>
  <c r="H127" i="30"/>
  <c r="N127" i="30" s="1"/>
  <c r="D127" i="30"/>
  <c r="B127" i="30"/>
  <c r="X126" i="30"/>
  <c r="Z126" i="30" s="1"/>
  <c r="L126" i="30"/>
  <c r="N126" i="30" s="1"/>
  <c r="J126" i="30"/>
  <c r="B126" i="30"/>
  <c r="T125" i="30"/>
  <c r="Z125" i="30" s="1"/>
  <c r="P125" i="30"/>
  <c r="X125" i="30" s="1"/>
  <c r="H125" i="30"/>
  <c r="D125" i="30"/>
  <c r="L125" i="30" s="1"/>
  <c r="B125" i="30"/>
  <c r="X124" i="30"/>
  <c r="Z124" i="30" s="1"/>
  <c r="N124" i="30"/>
  <c r="L124" i="30"/>
  <c r="B124" i="30"/>
  <c r="Z123" i="30"/>
  <c r="X123" i="30"/>
  <c r="T123" i="30"/>
  <c r="P123" i="30"/>
  <c r="H123" i="30"/>
  <c r="N123" i="30" s="1"/>
  <c r="D123" i="30"/>
  <c r="L123" i="30" s="1"/>
  <c r="B123" i="30"/>
  <c r="Z122" i="30"/>
  <c r="X122" i="30"/>
  <c r="L122" i="30"/>
  <c r="N122" i="30" s="1"/>
  <c r="J122" i="30"/>
  <c r="B122" i="30"/>
  <c r="X121" i="30"/>
  <c r="T121" i="30"/>
  <c r="Z121" i="30" s="1"/>
  <c r="P121" i="30"/>
  <c r="H121" i="30"/>
  <c r="D121" i="30"/>
  <c r="L121" i="30" s="1"/>
  <c r="B121" i="30"/>
  <c r="X120" i="30"/>
  <c r="Z120" i="30" s="1"/>
  <c r="L120" i="30"/>
  <c r="N120" i="30" s="1"/>
  <c r="B120" i="30"/>
  <c r="T119" i="30"/>
  <c r="P119" i="30"/>
  <c r="H119" i="30"/>
  <c r="N119" i="30" s="1"/>
  <c r="D119" i="30"/>
  <c r="L119" i="30" s="1"/>
  <c r="B119" i="30"/>
  <c r="X118" i="30"/>
  <c r="Z118" i="30" s="1"/>
  <c r="N118" i="30"/>
  <c r="L118" i="30"/>
  <c r="B118" i="30"/>
  <c r="X117" i="30"/>
  <c r="Z117" i="30" s="1"/>
  <c r="N117" i="30"/>
  <c r="L117" i="30"/>
  <c r="J117" i="30"/>
  <c r="B117" i="30"/>
  <c r="X116" i="30"/>
  <c r="T116" i="30"/>
  <c r="Z116" i="30" s="1"/>
  <c r="P116" i="30"/>
  <c r="H116" i="30"/>
  <c r="D116" i="30"/>
  <c r="B116" i="30"/>
  <c r="Z115" i="30"/>
  <c r="X115" i="30"/>
  <c r="N115" i="30"/>
  <c r="L115" i="30"/>
  <c r="B115" i="30"/>
  <c r="Z114" i="30"/>
  <c r="X114" i="30"/>
  <c r="N114" i="30"/>
  <c r="L114" i="30"/>
  <c r="J114" i="30"/>
  <c r="B114" i="30"/>
  <c r="X113" i="30"/>
  <c r="T113" i="30"/>
  <c r="P113" i="30"/>
  <c r="H113" i="30"/>
  <c r="D113" i="30"/>
  <c r="L113" i="30" s="1"/>
  <c r="B113" i="30"/>
  <c r="X112" i="30"/>
  <c r="Z112" i="30" s="1"/>
  <c r="L112" i="30"/>
  <c r="N112" i="30" s="1"/>
  <c r="B112" i="30"/>
  <c r="T111" i="30"/>
  <c r="P111" i="30"/>
  <c r="H111" i="30"/>
  <c r="D111" i="30"/>
  <c r="L111" i="30" s="1"/>
  <c r="B111" i="30"/>
  <c r="Z110" i="30"/>
  <c r="X110" i="30"/>
  <c r="N110" i="30"/>
  <c r="L110" i="30"/>
  <c r="B110" i="30"/>
  <c r="T109" i="30"/>
  <c r="Z109" i="30" s="1"/>
  <c r="P109" i="30"/>
  <c r="X109" i="30" s="1"/>
  <c r="N109" i="30"/>
  <c r="L109" i="30"/>
  <c r="H109" i="30"/>
  <c r="D109" i="30"/>
  <c r="B109" i="30"/>
  <c r="Z108" i="30"/>
  <c r="X108" i="30"/>
  <c r="L108" i="30"/>
  <c r="N108" i="30" s="1"/>
  <c r="J108" i="30"/>
  <c r="B108" i="30"/>
  <c r="T107" i="30"/>
  <c r="P107" i="30"/>
  <c r="X107" i="30" s="1"/>
  <c r="L107" i="30"/>
  <c r="J107" i="30"/>
  <c r="H107" i="30"/>
  <c r="D107" i="30"/>
  <c r="B107" i="30"/>
  <c r="X106" i="30"/>
  <c r="Z106" i="30" s="1"/>
  <c r="L106" i="30"/>
  <c r="N106" i="30" s="1"/>
  <c r="J106" i="30"/>
  <c r="B106" i="30"/>
  <c r="T105" i="30"/>
  <c r="P105" i="30"/>
  <c r="X105" i="30" s="1"/>
  <c r="H105" i="30"/>
  <c r="D105" i="30"/>
  <c r="B105" i="30"/>
  <c r="X104" i="30"/>
  <c r="Z104" i="30" s="1"/>
  <c r="N104" i="30"/>
  <c r="L104" i="30"/>
  <c r="B104" i="30"/>
  <c r="Z103" i="30"/>
  <c r="X103" i="30"/>
  <c r="T103" i="30"/>
  <c r="P103" i="30"/>
  <c r="H103" i="30"/>
  <c r="N103" i="30" s="1"/>
  <c r="D103" i="30"/>
  <c r="L103" i="30" s="1"/>
  <c r="B103" i="30"/>
  <c r="Z102" i="30"/>
  <c r="X102" i="30"/>
  <c r="L102" i="30"/>
  <c r="N102" i="30" s="1"/>
  <c r="J102" i="30"/>
  <c r="B102" i="30"/>
  <c r="X101" i="30"/>
  <c r="T101" i="30"/>
  <c r="P101" i="30"/>
  <c r="H101" i="30"/>
  <c r="N101" i="30" s="1"/>
  <c r="D101" i="30"/>
  <c r="L101" i="30" s="1"/>
  <c r="B101" i="30"/>
  <c r="Z100" i="30"/>
  <c r="X100" i="30"/>
  <c r="N100" i="30"/>
  <c r="L100" i="30"/>
  <c r="B100" i="30"/>
  <c r="Z99" i="30"/>
  <c r="X99" i="30"/>
  <c r="N99" i="30"/>
  <c r="L99" i="30"/>
  <c r="B99" i="30"/>
  <c r="X98" i="30"/>
  <c r="Z98" i="30" s="1"/>
  <c r="L98" i="30"/>
  <c r="N98" i="30" s="1"/>
  <c r="J98" i="30"/>
  <c r="B98" i="30"/>
  <c r="X97" i="30"/>
  <c r="Z97" i="30" s="1"/>
  <c r="N97" i="30"/>
  <c r="L97" i="30"/>
  <c r="B97" i="30"/>
  <c r="Z96" i="30"/>
  <c r="X96" i="30"/>
  <c r="N96" i="30"/>
  <c r="L96" i="30"/>
  <c r="B96" i="30"/>
  <c r="Z95" i="30"/>
  <c r="X95" i="30"/>
  <c r="N95" i="30"/>
  <c r="L95" i="30"/>
  <c r="B95" i="30"/>
  <c r="X94" i="30"/>
  <c r="Z94" i="30" s="1"/>
  <c r="L94" i="30"/>
  <c r="N94" i="30" s="1"/>
  <c r="J94" i="30"/>
  <c r="B94" i="30"/>
  <c r="Z93" i="30"/>
  <c r="X93" i="30"/>
  <c r="N93" i="30"/>
  <c r="L93" i="30"/>
  <c r="B93" i="30"/>
  <c r="Z92" i="30"/>
  <c r="X92" i="30"/>
  <c r="L92" i="30"/>
  <c r="N92" i="30" s="1"/>
  <c r="B92" i="30"/>
  <c r="Z91" i="30"/>
  <c r="X91" i="30"/>
  <c r="N91" i="30"/>
  <c r="L91" i="30"/>
  <c r="B91" i="30"/>
  <c r="T90" i="30"/>
  <c r="P90" i="30"/>
  <c r="X90" i="30" s="1"/>
  <c r="N90" i="30"/>
  <c r="L90" i="30"/>
  <c r="J90" i="30"/>
  <c r="H90" i="30"/>
  <c r="D90" i="30"/>
  <c r="B90" i="30"/>
  <c r="X89" i="30"/>
  <c r="Z89" i="30" s="1"/>
  <c r="L89" i="30"/>
  <c r="N89" i="30" s="1"/>
  <c r="J89" i="30"/>
  <c r="B89" i="30"/>
  <c r="X88" i="30"/>
  <c r="Z88" i="30" s="1"/>
  <c r="N88" i="30"/>
  <c r="L88" i="30"/>
  <c r="B88" i="30"/>
  <c r="Z87" i="30"/>
  <c r="X87" i="30"/>
  <c r="N87" i="30"/>
  <c r="L87" i="30"/>
  <c r="B87" i="30"/>
  <c r="Z86" i="30"/>
  <c r="X86" i="30"/>
  <c r="N86" i="30"/>
  <c r="L86" i="30"/>
  <c r="B86" i="30"/>
  <c r="X85" i="30"/>
  <c r="Z85" i="30" s="1"/>
  <c r="L85" i="30"/>
  <c r="N85" i="30" s="1"/>
  <c r="J85" i="30"/>
  <c r="B85" i="30"/>
  <c r="X84" i="30"/>
  <c r="Z84" i="30" s="1"/>
  <c r="N84" i="30"/>
  <c r="L84" i="30"/>
  <c r="B84" i="30"/>
  <c r="Z83" i="30"/>
  <c r="X83" i="30"/>
  <c r="N83" i="30"/>
  <c r="L83" i="30"/>
  <c r="B83" i="30"/>
  <c r="X82" i="30"/>
  <c r="Z82" i="30" s="1"/>
  <c r="N82" i="30"/>
  <c r="L82" i="30"/>
  <c r="B82" i="30"/>
  <c r="X81" i="30"/>
  <c r="Z81" i="30" s="1"/>
  <c r="L81" i="30"/>
  <c r="N81" i="30" s="1"/>
  <c r="J81" i="30"/>
  <c r="B81" i="30"/>
  <c r="X80" i="30"/>
  <c r="T80" i="30"/>
  <c r="Z80" i="30" s="1"/>
  <c r="P80" i="30"/>
  <c r="J80" i="30"/>
  <c r="H80" i="30"/>
  <c r="D80" i="30"/>
  <c r="B80" i="30"/>
  <c r="T79" i="30"/>
  <c r="P79" i="30"/>
  <c r="X79" i="30" s="1"/>
  <c r="L79" i="30"/>
  <c r="J79" i="30"/>
  <c r="H79" i="30"/>
  <c r="N79" i="30" s="1"/>
  <c r="D79" i="30"/>
  <c r="J77" i="30"/>
  <c r="H77" i="30"/>
  <c r="H167" i="30" s="1"/>
  <c r="Z75" i="30"/>
  <c r="X75" i="30"/>
  <c r="N75" i="30"/>
  <c r="L75" i="30"/>
  <c r="B75" i="30"/>
  <c r="Z74" i="30"/>
  <c r="X74" i="30"/>
  <c r="N74" i="30"/>
  <c r="L74" i="30"/>
  <c r="J74" i="30"/>
  <c r="B74" i="30"/>
  <c r="Z73" i="30"/>
  <c r="X73" i="30"/>
  <c r="N73" i="30"/>
  <c r="L73" i="30"/>
  <c r="B73" i="30"/>
  <c r="Z72" i="30"/>
  <c r="X72" i="30"/>
  <c r="N72" i="30"/>
  <c r="L72" i="30"/>
  <c r="J72" i="30"/>
  <c r="B72" i="30"/>
  <c r="Z71" i="30"/>
  <c r="X71" i="30"/>
  <c r="N71" i="30"/>
  <c r="L71" i="30"/>
  <c r="B71" i="30"/>
  <c r="Z70" i="30"/>
  <c r="X70" i="30"/>
  <c r="N70" i="30"/>
  <c r="L70" i="30"/>
  <c r="J70" i="30"/>
  <c r="B70" i="30"/>
  <c r="Z69" i="30"/>
  <c r="X69" i="30"/>
  <c r="N69" i="30"/>
  <c r="L69" i="30"/>
  <c r="B69" i="30"/>
  <c r="Z68" i="30"/>
  <c r="X68" i="30"/>
  <c r="N68" i="30"/>
  <c r="L68" i="30"/>
  <c r="J68" i="30"/>
  <c r="B68" i="30"/>
  <c r="Z67" i="30"/>
  <c r="X67" i="30"/>
  <c r="N67" i="30"/>
  <c r="L67" i="30"/>
  <c r="B67" i="30"/>
  <c r="Z66" i="30"/>
  <c r="X66" i="30"/>
  <c r="N66" i="30"/>
  <c r="L66" i="30"/>
  <c r="J66" i="30"/>
  <c r="B66" i="30"/>
  <c r="Z65" i="30"/>
  <c r="X65" i="30"/>
  <c r="N65" i="30"/>
  <c r="L65" i="30"/>
  <c r="B65" i="30"/>
  <c r="Z64" i="30"/>
  <c r="X64" i="30"/>
  <c r="N64" i="30"/>
  <c r="L64" i="30"/>
  <c r="J64" i="30"/>
  <c r="B64" i="30"/>
  <c r="Z63" i="30"/>
  <c r="X63" i="30"/>
  <c r="N63" i="30"/>
  <c r="L63" i="30"/>
  <c r="B63" i="30"/>
  <c r="Z62" i="30"/>
  <c r="X62" i="30"/>
  <c r="N62" i="30"/>
  <c r="L62" i="30"/>
  <c r="J62" i="30"/>
  <c r="B62" i="30"/>
  <c r="Z61" i="30"/>
  <c r="X61" i="30"/>
  <c r="N61" i="30"/>
  <c r="L61" i="30"/>
  <c r="B61" i="30"/>
  <c r="Z60" i="30"/>
  <c r="X60" i="30"/>
  <c r="N60" i="30"/>
  <c r="L60" i="30"/>
  <c r="J60" i="30"/>
  <c r="B60" i="30"/>
  <c r="Z59" i="30"/>
  <c r="X59" i="30"/>
  <c r="N59" i="30"/>
  <c r="L59" i="30"/>
  <c r="B59" i="30"/>
  <c r="Z58" i="30"/>
  <c r="X58" i="30"/>
  <c r="N58" i="30"/>
  <c r="L58" i="30"/>
  <c r="J58" i="30"/>
  <c r="B58" i="30"/>
  <c r="Z57" i="30"/>
  <c r="X57" i="30"/>
  <c r="N57" i="30"/>
  <c r="L57" i="30"/>
  <c r="B57" i="30"/>
  <c r="Z56" i="30"/>
  <c r="X56" i="30"/>
  <c r="N56" i="30"/>
  <c r="L56" i="30"/>
  <c r="J56" i="30"/>
  <c r="B56" i="30"/>
  <c r="Z55" i="30"/>
  <c r="X55" i="30"/>
  <c r="N55" i="30"/>
  <c r="L55" i="30"/>
  <c r="B55" i="30"/>
  <c r="Z54" i="30"/>
  <c r="X54" i="30"/>
  <c r="N54" i="30"/>
  <c r="L54" i="30"/>
  <c r="J54" i="30"/>
  <c r="B54" i="30"/>
  <c r="X53" i="30"/>
  <c r="Z53" i="30" s="1"/>
  <c r="L53" i="30"/>
  <c r="N53" i="30" s="1"/>
  <c r="B53" i="30"/>
  <c r="T52" i="30"/>
  <c r="P52" i="30"/>
  <c r="X52" i="30" s="1"/>
  <c r="Z52" i="30" s="1"/>
  <c r="H52" i="30"/>
  <c r="D52" i="30"/>
  <c r="L52" i="30" s="1"/>
  <c r="N52" i="30" s="1"/>
  <c r="Z50" i="30"/>
  <c r="P50" i="30"/>
  <c r="X50" i="30" s="1"/>
  <c r="N50" i="30"/>
  <c r="D50" i="30"/>
  <c r="L50" i="30" s="1"/>
  <c r="B50" i="30"/>
  <c r="Z49" i="30"/>
  <c r="P49" i="30"/>
  <c r="X49" i="30" s="1"/>
  <c r="N49" i="30"/>
  <c r="D49" i="30"/>
  <c r="L49" i="30" s="1"/>
  <c r="B49" i="30"/>
  <c r="Z48" i="30"/>
  <c r="P48" i="30"/>
  <c r="X48" i="30" s="1"/>
  <c r="N48" i="30"/>
  <c r="L48" i="30"/>
  <c r="D48" i="30"/>
  <c r="B48" i="30"/>
  <c r="Z47" i="30"/>
  <c r="P47" i="30"/>
  <c r="X47" i="30" s="1"/>
  <c r="N47" i="30"/>
  <c r="D47" i="30"/>
  <c r="L47" i="30" s="1"/>
  <c r="B47" i="30"/>
  <c r="Z46" i="30"/>
  <c r="X46" i="30"/>
  <c r="P46" i="30"/>
  <c r="N46" i="30"/>
  <c r="D46" i="30"/>
  <c r="L46" i="30" s="1"/>
  <c r="B46" i="30"/>
  <c r="Z45" i="30"/>
  <c r="X45" i="30"/>
  <c r="P45" i="30"/>
  <c r="N45" i="30"/>
  <c r="D45" i="30"/>
  <c r="L45" i="30" s="1"/>
  <c r="B45" i="30"/>
  <c r="Z44" i="30"/>
  <c r="P44" i="30"/>
  <c r="X44" i="30" s="1"/>
  <c r="N44" i="30"/>
  <c r="D44" i="30"/>
  <c r="L44" i="30" s="1"/>
  <c r="B44" i="30"/>
  <c r="Z43" i="30"/>
  <c r="X43" i="30"/>
  <c r="P43" i="30"/>
  <c r="N43" i="30"/>
  <c r="L43" i="30"/>
  <c r="D43" i="30"/>
  <c r="B43" i="30"/>
  <c r="Z42" i="30"/>
  <c r="X42" i="30"/>
  <c r="P42" i="30"/>
  <c r="N42" i="30"/>
  <c r="L42" i="30"/>
  <c r="D42" i="30"/>
  <c r="B42" i="30"/>
  <c r="Z41" i="30"/>
  <c r="P41" i="30"/>
  <c r="X41" i="30" s="1"/>
  <c r="N41" i="30"/>
  <c r="D41" i="30"/>
  <c r="L41" i="30" s="1"/>
  <c r="B41" i="30"/>
  <c r="Z40" i="30"/>
  <c r="P40" i="30"/>
  <c r="X40" i="30" s="1"/>
  <c r="N40" i="30"/>
  <c r="L40" i="30"/>
  <c r="D40" i="30"/>
  <c r="B40" i="30"/>
  <c r="Z39" i="30"/>
  <c r="X39" i="30"/>
  <c r="P39" i="30"/>
  <c r="N39" i="30"/>
  <c r="L39" i="30"/>
  <c r="D39" i="30"/>
  <c r="B39" i="30"/>
  <c r="Z38" i="30"/>
  <c r="P38" i="30"/>
  <c r="X38" i="30" s="1"/>
  <c r="N38" i="30"/>
  <c r="D38" i="30"/>
  <c r="L38" i="30" s="1"/>
  <c r="B38" i="30"/>
  <c r="Z37" i="30"/>
  <c r="P37" i="30"/>
  <c r="X37" i="30" s="1"/>
  <c r="N37" i="30"/>
  <c r="D37" i="30"/>
  <c r="L37" i="30" s="1"/>
  <c r="B37" i="30"/>
  <c r="Z36" i="30"/>
  <c r="P36" i="30"/>
  <c r="X36" i="30" s="1"/>
  <c r="N36" i="30"/>
  <c r="L36" i="30"/>
  <c r="D36" i="30"/>
  <c r="B36" i="30"/>
  <c r="Z35" i="30"/>
  <c r="P35" i="30"/>
  <c r="X35" i="30" s="1"/>
  <c r="N35" i="30"/>
  <c r="D35" i="30"/>
  <c r="L35" i="30" s="1"/>
  <c r="B35" i="30"/>
  <c r="Z34" i="30"/>
  <c r="X34" i="30"/>
  <c r="P34" i="30"/>
  <c r="N34" i="30"/>
  <c r="D34" i="30"/>
  <c r="L34" i="30" s="1"/>
  <c r="B34" i="30"/>
  <c r="Z33" i="30"/>
  <c r="X33" i="30"/>
  <c r="P33" i="30"/>
  <c r="N33" i="30"/>
  <c r="D33" i="30"/>
  <c r="L33" i="30" s="1"/>
  <c r="B33" i="30"/>
  <c r="Z32" i="30"/>
  <c r="P32" i="30"/>
  <c r="X32" i="30" s="1"/>
  <c r="N32" i="30"/>
  <c r="D32" i="30"/>
  <c r="L32" i="30" s="1"/>
  <c r="B32" i="30"/>
  <c r="Z31" i="30"/>
  <c r="X31" i="30"/>
  <c r="P31" i="30"/>
  <c r="N31" i="30"/>
  <c r="L31" i="30"/>
  <c r="D31" i="30"/>
  <c r="B31" i="30"/>
  <c r="Z30" i="30"/>
  <c r="X30" i="30"/>
  <c r="P30" i="30"/>
  <c r="N30" i="30"/>
  <c r="L30" i="30"/>
  <c r="D30" i="30"/>
  <c r="B30" i="30"/>
  <c r="Z29" i="30"/>
  <c r="P29" i="30"/>
  <c r="X29" i="30" s="1"/>
  <c r="N29" i="30"/>
  <c r="D29" i="30"/>
  <c r="L29" i="30" s="1"/>
  <c r="B29" i="30"/>
  <c r="Z28" i="30"/>
  <c r="P28" i="30"/>
  <c r="X28" i="30" s="1"/>
  <c r="N28" i="30"/>
  <c r="L28" i="30"/>
  <c r="D28" i="30"/>
  <c r="B28" i="30"/>
  <c r="Z27" i="30"/>
  <c r="X27" i="30"/>
  <c r="P27" i="30"/>
  <c r="N27" i="30"/>
  <c r="L27" i="30"/>
  <c r="D27" i="30"/>
  <c r="B27" i="30"/>
  <c r="Z26" i="30"/>
  <c r="P26" i="30"/>
  <c r="X26" i="30" s="1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L24" i="30"/>
  <c r="D24" i="30"/>
  <c r="B24" i="30"/>
  <c r="Z23" i="30"/>
  <c r="P23" i="30"/>
  <c r="X23" i="30" s="1"/>
  <c r="N23" i="30"/>
  <c r="D23" i="30"/>
  <c r="L23" i="30" s="1"/>
  <c r="B23" i="30"/>
  <c r="Z22" i="30"/>
  <c r="X22" i="30"/>
  <c r="P22" i="30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D20" i="30"/>
  <c r="L20" i="30" s="1"/>
  <c r="B20" i="30"/>
  <c r="Z19" i="30"/>
  <c r="X19" i="30"/>
  <c r="P19" i="30"/>
  <c r="N19" i="30"/>
  <c r="L19" i="30"/>
  <c r="D19" i="30"/>
  <c r="B19" i="30"/>
  <c r="Z18" i="30"/>
  <c r="X18" i="30"/>
  <c r="P18" i="30"/>
  <c r="N18" i="30"/>
  <c r="L18" i="30"/>
  <c r="D18" i="30"/>
  <c r="B18" i="30"/>
  <c r="Z17" i="30"/>
  <c r="P17" i="30"/>
  <c r="X17" i="30" s="1"/>
  <c r="N17" i="30"/>
  <c r="D17" i="30"/>
  <c r="L17" i="30" s="1"/>
  <c r="B17" i="30"/>
  <c r="Z16" i="30"/>
  <c r="P16" i="30"/>
  <c r="X16" i="30" s="1"/>
  <c r="N16" i="30"/>
  <c r="L16" i="30"/>
  <c r="D16" i="30"/>
  <c r="B16" i="30"/>
  <c r="Z15" i="30"/>
  <c r="X15" i="30"/>
  <c r="P15" i="30"/>
  <c r="N15" i="30"/>
  <c r="L15" i="30"/>
  <c r="D15" i="30"/>
  <c r="B15" i="30"/>
  <c r="Z14" i="30"/>
  <c r="P14" i="30"/>
  <c r="X14" i="30" s="1"/>
  <c r="N14" i="30"/>
  <c r="D14" i="30"/>
  <c r="L14" i="30" s="1"/>
  <c r="B14" i="30"/>
  <c r="P13" i="30"/>
  <c r="X13" i="30" s="1"/>
  <c r="Z13" i="30" s="1"/>
  <c r="D13" i="30"/>
  <c r="B13" i="30"/>
  <c r="T12" i="30"/>
  <c r="P12" i="30"/>
  <c r="H12" i="30"/>
  <c r="J151" i="30" s="1"/>
  <c r="D4" i="30"/>
  <c r="X120" i="27"/>
  <c r="Z120" i="27" s="1"/>
  <c r="R120" i="27"/>
  <c r="N120" i="27"/>
  <c r="L120" i="27"/>
  <c r="Z116" i="27"/>
  <c r="P116" i="27"/>
  <c r="X116" i="27" s="1"/>
  <c r="N116" i="27"/>
  <c r="J116" i="27"/>
  <c r="D116" i="27"/>
  <c r="L116" i="27" s="1"/>
  <c r="B116" i="27"/>
  <c r="P115" i="27"/>
  <c r="X115" i="27" s="1"/>
  <c r="Z115" i="27" s="1"/>
  <c r="D115" i="27"/>
  <c r="L115" i="27" s="1"/>
  <c r="N115" i="27" s="1"/>
  <c r="B115" i="27"/>
  <c r="X114" i="27"/>
  <c r="Z114" i="27" s="1"/>
  <c r="P114" i="27"/>
  <c r="D114" i="27"/>
  <c r="L114" i="27" s="1"/>
  <c r="N114" i="27" s="1"/>
  <c r="B114" i="27"/>
  <c r="T113" i="27"/>
  <c r="H113" i="27"/>
  <c r="D113" i="27"/>
  <c r="L113" i="27" s="1"/>
  <c r="N113" i="27" s="1"/>
  <c r="Z111" i="27"/>
  <c r="X111" i="27"/>
  <c r="N111" i="27"/>
  <c r="L111" i="27"/>
  <c r="J111" i="27"/>
  <c r="B111" i="27"/>
  <c r="X110" i="27"/>
  <c r="V110" i="27"/>
  <c r="T110" i="27"/>
  <c r="Z110" i="27" s="1"/>
  <c r="P110" i="27"/>
  <c r="H110" i="27"/>
  <c r="N110" i="27" s="1"/>
  <c r="D110" i="27"/>
  <c r="L110" i="27" s="1"/>
  <c r="B110" i="27"/>
  <c r="Z109" i="27"/>
  <c r="X109" i="27"/>
  <c r="V109" i="27"/>
  <c r="L109" i="27"/>
  <c r="N109" i="27" s="1"/>
  <c r="B109" i="27"/>
  <c r="T108" i="27"/>
  <c r="P108" i="27"/>
  <c r="X108" i="27" s="1"/>
  <c r="H108" i="27"/>
  <c r="D108" i="27"/>
  <c r="L108" i="27" s="1"/>
  <c r="B108" i="27"/>
  <c r="Z107" i="27"/>
  <c r="X107" i="27"/>
  <c r="V107" i="27"/>
  <c r="N107" i="27"/>
  <c r="L107" i="27"/>
  <c r="B107" i="27"/>
  <c r="X106" i="27"/>
  <c r="Z106" i="27" s="1"/>
  <c r="L106" i="27"/>
  <c r="N106" i="27" s="1"/>
  <c r="J106" i="27"/>
  <c r="B106" i="27"/>
  <c r="X105" i="27"/>
  <c r="Z105" i="27" s="1"/>
  <c r="T105" i="27"/>
  <c r="P105" i="27"/>
  <c r="H105" i="27"/>
  <c r="D105" i="27"/>
  <c r="B105" i="27"/>
  <c r="Z104" i="27"/>
  <c r="X104" i="27"/>
  <c r="L104" i="27"/>
  <c r="N104" i="27" s="1"/>
  <c r="B104" i="27"/>
  <c r="Z103" i="27"/>
  <c r="X103" i="27"/>
  <c r="L103" i="27"/>
  <c r="N103" i="27" s="1"/>
  <c r="J103" i="27"/>
  <c r="B103" i="27"/>
  <c r="X102" i="27"/>
  <c r="Z102" i="27" s="1"/>
  <c r="V102" i="27"/>
  <c r="L102" i="27"/>
  <c r="N102" i="27" s="1"/>
  <c r="B102" i="27"/>
  <c r="T101" i="27"/>
  <c r="P101" i="27"/>
  <c r="X101" i="27" s="1"/>
  <c r="Z101" i="27" s="1"/>
  <c r="H101" i="27"/>
  <c r="D101" i="27"/>
  <c r="L101" i="27" s="1"/>
  <c r="N101" i="27" s="1"/>
  <c r="B101" i="27"/>
  <c r="Z100" i="27"/>
  <c r="X100" i="27"/>
  <c r="N100" i="27"/>
  <c r="L100" i="27"/>
  <c r="B100" i="27"/>
  <c r="X99" i="27"/>
  <c r="Z99" i="27" s="1"/>
  <c r="V99" i="27"/>
  <c r="N99" i="27"/>
  <c r="L99" i="27"/>
  <c r="J99" i="27"/>
  <c r="B99" i="27"/>
  <c r="T98" i="27"/>
  <c r="P98" i="27"/>
  <c r="X98" i="27" s="1"/>
  <c r="H98" i="27"/>
  <c r="D98" i="27"/>
  <c r="L98" i="27" s="1"/>
  <c r="B98" i="27"/>
  <c r="X97" i="27"/>
  <c r="Z97" i="27" s="1"/>
  <c r="N97" i="27"/>
  <c r="L97" i="27"/>
  <c r="B97" i="27"/>
  <c r="Z96" i="27"/>
  <c r="X96" i="27"/>
  <c r="N96" i="27"/>
  <c r="L96" i="27"/>
  <c r="B96" i="27"/>
  <c r="T95" i="27"/>
  <c r="P95" i="27"/>
  <c r="L95" i="27"/>
  <c r="H95" i="27"/>
  <c r="N95" i="27" s="1"/>
  <c r="D95" i="27"/>
  <c r="B95" i="27"/>
  <c r="X94" i="27"/>
  <c r="Z94" i="27" s="1"/>
  <c r="V94" i="27"/>
  <c r="L94" i="27"/>
  <c r="N94" i="27" s="1"/>
  <c r="B94" i="27"/>
  <c r="T93" i="27"/>
  <c r="P93" i="27"/>
  <c r="X93" i="27" s="1"/>
  <c r="Z93" i="27" s="1"/>
  <c r="H93" i="27"/>
  <c r="D93" i="27"/>
  <c r="L93" i="27" s="1"/>
  <c r="N93" i="27" s="1"/>
  <c r="B93" i="27"/>
  <c r="Z92" i="27"/>
  <c r="X92" i="27"/>
  <c r="N92" i="27"/>
  <c r="L92" i="27"/>
  <c r="B92" i="27"/>
  <c r="X91" i="27"/>
  <c r="Z91" i="27" s="1"/>
  <c r="V91" i="27"/>
  <c r="N91" i="27"/>
  <c r="L91" i="27"/>
  <c r="J91" i="27"/>
  <c r="B91" i="27"/>
  <c r="T90" i="27"/>
  <c r="Z90" i="27" s="1"/>
  <c r="P90" i="27"/>
  <c r="X90" i="27" s="1"/>
  <c r="H90" i="27"/>
  <c r="D90" i="27"/>
  <c r="L90" i="27" s="1"/>
  <c r="B90" i="27"/>
  <c r="Z89" i="27"/>
  <c r="X89" i="27"/>
  <c r="N89" i="27"/>
  <c r="L89" i="27"/>
  <c r="B89" i="27"/>
  <c r="Z88" i="27"/>
  <c r="X88" i="27"/>
  <c r="N88" i="27"/>
  <c r="L88" i="27"/>
  <c r="B88" i="27"/>
  <c r="V87" i="27"/>
  <c r="T87" i="27"/>
  <c r="P87" i="27"/>
  <c r="L87" i="27"/>
  <c r="H87" i="27"/>
  <c r="N87" i="27" s="1"/>
  <c r="D87" i="27"/>
  <c r="B87" i="27"/>
  <c r="X86" i="27"/>
  <c r="Z86" i="27" s="1"/>
  <c r="V86" i="27"/>
  <c r="L86" i="27"/>
  <c r="N86" i="27" s="1"/>
  <c r="B86" i="27"/>
  <c r="T85" i="27"/>
  <c r="P85" i="27"/>
  <c r="X85" i="27" s="1"/>
  <c r="Z85" i="27" s="1"/>
  <c r="H85" i="27"/>
  <c r="D85" i="27"/>
  <c r="L85" i="27" s="1"/>
  <c r="N85" i="27" s="1"/>
  <c r="B85" i="27"/>
  <c r="X84" i="27"/>
  <c r="Z84" i="27" s="1"/>
  <c r="N84" i="27"/>
  <c r="L84" i="27"/>
  <c r="B84" i="27"/>
  <c r="V83" i="27"/>
  <c r="T83" i="27"/>
  <c r="P83" i="27"/>
  <c r="L83" i="27"/>
  <c r="N83" i="27" s="1"/>
  <c r="J83" i="27"/>
  <c r="H83" i="27"/>
  <c r="D83" i="27"/>
  <c r="B83" i="27"/>
  <c r="Z82" i="27"/>
  <c r="X82" i="27"/>
  <c r="N82" i="27"/>
  <c r="L82" i="27"/>
  <c r="J82" i="27"/>
  <c r="B82" i="27"/>
  <c r="X81" i="27"/>
  <c r="Z81" i="27" s="1"/>
  <c r="N81" i="27"/>
  <c r="L81" i="27"/>
  <c r="B81" i="27"/>
  <c r="Z80" i="27"/>
  <c r="X80" i="27"/>
  <c r="T80" i="27"/>
  <c r="P80" i="27"/>
  <c r="H80" i="27"/>
  <c r="N80" i="27" s="1"/>
  <c r="D80" i="27"/>
  <c r="L80" i="27" s="1"/>
  <c r="B80" i="27"/>
  <c r="Z79" i="27"/>
  <c r="X79" i="27"/>
  <c r="L79" i="27"/>
  <c r="N79" i="27" s="1"/>
  <c r="J79" i="27"/>
  <c r="B79" i="27"/>
  <c r="T78" i="27"/>
  <c r="P78" i="27"/>
  <c r="H78" i="27"/>
  <c r="N78" i="27" s="1"/>
  <c r="D78" i="27"/>
  <c r="L78" i="27" s="1"/>
  <c r="B78" i="27"/>
  <c r="Z77" i="27"/>
  <c r="X77" i="27"/>
  <c r="V77" i="27"/>
  <c r="N77" i="27"/>
  <c r="L77" i="27"/>
  <c r="B77" i="27"/>
  <c r="Z76" i="27"/>
  <c r="X76" i="27"/>
  <c r="R76" i="27"/>
  <c r="N76" i="27"/>
  <c r="L76" i="27"/>
  <c r="B76" i="27"/>
  <c r="X75" i="27"/>
  <c r="Z75" i="27" s="1"/>
  <c r="V75" i="27"/>
  <c r="N75" i="27"/>
  <c r="L75" i="27"/>
  <c r="J75" i="27"/>
  <c r="B75" i="27"/>
  <c r="X74" i="27"/>
  <c r="Z74" i="27" s="1"/>
  <c r="N74" i="27"/>
  <c r="L74" i="27"/>
  <c r="B74" i="27"/>
  <c r="Z73" i="27"/>
  <c r="X73" i="27"/>
  <c r="V73" i="27"/>
  <c r="N73" i="27"/>
  <c r="L73" i="27"/>
  <c r="B73" i="27"/>
  <c r="X72" i="27"/>
  <c r="Z72" i="27" s="1"/>
  <c r="N72" i="27"/>
  <c r="L72" i="27"/>
  <c r="B72" i="27"/>
  <c r="X71" i="27"/>
  <c r="Z71" i="27" s="1"/>
  <c r="V71" i="27"/>
  <c r="N71" i="27"/>
  <c r="L71" i="27"/>
  <c r="J71" i="27"/>
  <c r="B71" i="27"/>
  <c r="Z70" i="27"/>
  <c r="X70" i="27"/>
  <c r="N70" i="27"/>
  <c r="L70" i="27"/>
  <c r="B70" i="27"/>
  <c r="X69" i="27"/>
  <c r="Z69" i="27" s="1"/>
  <c r="V69" i="27"/>
  <c r="L69" i="27"/>
  <c r="N69" i="27" s="1"/>
  <c r="B69" i="27"/>
  <c r="Z68" i="27"/>
  <c r="X68" i="27"/>
  <c r="N68" i="27"/>
  <c r="L68" i="27"/>
  <c r="B68" i="27"/>
  <c r="V67" i="27"/>
  <c r="T67" i="27"/>
  <c r="P67" i="27"/>
  <c r="X67" i="27" s="1"/>
  <c r="N67" i="27"/>
  <c r="L67" i="27"/>
  <c r="J67" i="27"/>
  <c r="H67" i="27"/>
  <c r="D67" i="27"/>
  <c r="B67" i="27"/>
  <c r="X66" i="27"/>
  <c r="Z66" i="27" s="1"/>
  <c r="L66" i="27"/>
  <c r="N66" i="27" s="1"/>
  <c r="J66" i="27"/>
  <c r="B66" i="27"/>
  <c r="X65" i="27"/>
  <c r="Z65" i="27" s="1"/>
  <c r="N65" i="27"/>
  <c r="L65" i="27"/>
  <c r="B65" i="27"/>
  <c r="Z64" i="27"/>
  <c r="X64" i="27"/>
  <c r="N64" i="27"/>
  <c r="L64" i="27"/>
  <c r="B64" i="27"/>
  <c r="Z63" i="27"/>
  <c r="X63" i="27"/>
  <c r="V63" i="27"/>
  <c r="N63" i="27"/>
  <c r="L63" i="27"/>
  <c r="B63" i="27"/>
  <c r="Z62" i="27"/>
  <c r="X62" i="27"/>
  <c r="N62" i="27"/>
  <c r="L62" i="27"/>
  <c r="J62" i="27"/>
  <c r="B62" i="27"/>
  <c r="X61" i="27"/>
  <c r="Z61" i="27" s="1"/>
  <c r="N61" i="27"/>
  <c r="L61" i="27"/>
  <c r="B61" i="27"/>
  <c r="X60" i="27"/>
  <c r="Z60" i="27" s="1"/>
  <c r="N60" i="27"/>
  <c r="L60" i="27"/>
  <c r="B60" i="27"/>
  <c r="Z59" i="27"/>
  <c r="X59" i="27"/>
  <c r="V59" i="27"/>
  <c r="N59" i="27"/>
  <c r="L59" i="27"/>
  <c r="B59" i="27"/>
  <c r="X58" i="27"/>
  <c r="Z58" i="27" s="1"/>
  <c r="L58" i="27"/>
  <c r="N58" i="27" s="1"/>
  <c r="J58" i="27"/>
  <c r="B58" i="27"/>
  <c r="X57" i="27"/>
  <c r="Z57" i="27" s="1"/>
  <c r="N57" i="27"/>
  <c r="L57" i="27"/>
  <c r="B57" i="27"/>
  <c r="X56" i="27"/>
  <c r="Z56" i="27" s="1"/>
  <c r="T56" i="27"/>
  <c r="P56" i="27"/>
  <c r="H56" i="27"/>
  <c r="N56" i="27" s="1"/>
  <c r="D56" i="27"/>
  <c r="L56" i="27" s="1"/>
  <c r="B56" i="27"/>
  <c r="T55" i="27"/>
  <c r="P55" i="27"/>
  <c r="X55" i="27" s="1"/>
  <c r="Z55" i="27" s="1"/>
  <c r="H55" i="27"/>
  <c r="D55" i="27"/>
  <c r="L55" i="27" s="1"/>
  <c r="N55" i="27" s="1"/>
  <c r="Z51" i="27"/>
  <c r="X51" i="27"/>
  <c r="N51" i="27"/>
  <c r="L51" i="27"/>
  <c r="J51" i="27"/>
  <c r="B51" i="27"/>
  <c r="Z50" i="27"/>
  <c r="X50" i="27"/>
  <c r="V50" i="27"/>
  <c r="N50" i="27"/>
  <c r="L50" i="27"/>
  <c r="B50" i="27"/>
  <c r="Z49" i="27"/>
  <c r="X49" i="27"/>
  <c r="N49" i="27"/>
  <c r="L49" i="27"/>
  <c r="J49" i="27"/>
  <c r="B49" i="27"/>
  <c r="Z48" i="27"/>
  <c r="X48" i="27"/>
  <c r="N48" i="27"/>
  <c r="L48" i="27"/>
  <c r="B48" i="27"/>
  <c r="Z47" i="27"/>
  <c r="X47" i="27"/>
  <c r="N47" i="27"/>
  <c r="L47" i="27"/>
  <c r="J47" i="27"/>
  <c r="B47" i="27"/>
  <c r="Z46" i="27"/>
  <c r="X46" i="27"/>
  <c r="V46" i="27"/>
  <c r="N46" i="27"/>
  <c r="L46" i="27"/>
  <c r="B46" i="27"/>
  <c r="Z45" i="27"/>
  <c r="X45" i="27"/>
  <c r="N45" i="27"/>
  <c r="L45" i="27"/>
  <c r="J45" i="27"/>
  <c r="B45" i="27"/>
  <c r="Z44" i="27"/>
  <c r="X44" i="27"/>
  <c r="N44" i="27"/>
  <c r="L44" i="27"/>
  <c r="B44" i="27"/>
  <c r="Z43" i="27"/>
  <c r="X43" i="27"/>
  <c r="N43" i="27"/>
  <c r="L43" i="27"/>
  <c r="J43" i="27"/>
  <c r="B43" i="27"/>
  <c r="Z42" i="27"/>
  <c r="X42" i="27"/>
  <c r="V42" i="27"/>
  <c r="N42" i="27"/>
  <c r="L42" i="27"/>
  <c r="B42" i="27"/>
  <c r="Z41" i="27"/>
  <c r="X41" i="27"/>
  <c r="N41" i="27"/>
  <c r="L41" i="27"/>
  <c r="J41" i="27"/>
  <c r="B41" i="27"/>
  <c r="Z40" i="27"/>
  <c r="X40" i="27"/>
  <c r="N40" i="27"/>
  <c r="L40" i="27"/>
  <c r="B40" i="27"/>
  <c r="Z39" i="27"/>
  <c r="X39" i="27"/>
  <c r="N39" i="27"/>
  <c r="L39" i="27"/>
  <c r="J39" i="27"/>
  <c r="B39" i="27"/>
  <c r="Z38" i="27"/>
  <c r="X38" i="27"/>
  <c r="V38" i="27"/>
  <c r="N38" i="27"/>
  <c r="L38" i="27"/>
  <c r="B38" i="27"/>
  <c r="Z37" i="27"/>
  <c r="X37" i="27"/>
  <c r="N37" i="27"/>
  <c r="L37" i="27"/>
  <c r="J37" i="27"/>
  <c r="B37" i="27"/>
  <c r="T36" i="27"/>
  <c r="P36" i="27"/>
  <c r="X36" i="27" s="1"/>
  <c r="L36" i="27"/>
  <c r="H36" i="27"/>
  <c r="D36" i="27"/>
  <c r="Z34" i="27"/>
  <c r="P34" i="27"/>
  <c r="X34" i="27" s="1"/>
  <c r="N34" i="27"/>
  <c r="D34" i="27"/>
  <c r="L34" i="27" s="1"/>
  <c r="B34" i="27"/>
  <c r="Z33" i="27"/>
  <c r="P33" i="27"/>
  <c r="X33" i="27" s="1"/>
  <c r="N33" i="27"/>
  <c r="D33" i="27"/>
  <c r="L33" i="27" s="1"/>
  <c r="B33" i="27"/>
  <c r="Z32" i="27"/>
  <c r="X32" i="27"/>
  <c r="P32" i="27"/>
  <c r="N32" i="27"/>
  <c r="D32" i="27"/>
  <c r="L32" i="27" s="1"/>
  <c r="B32" i="27"/>
  <c r="Z31" i="27"/>
  <c r="P31" i="27"/>
  <c r="X31" i="27" s="1"/>
  <c r="N31" i="27"/>
  <c r="D31" i="27"/>
  <c r="L31" i="27" s="1"/>
  <c r="B31" i="27"/>
  <c r="Z30" i="27"/>
  <c r="X30" i="27"/>
  <c r="P30" i="27"/>
  <c r="N30" i="27"/>
  <c r="L30" i="27"/>
  <c r="D30" i="27"/>
  <c r="B30" i="27"/>
  <c r="Z29" i="27"/>
  <c r="X29" i="27"/>
  <c r="P29" i="27"/>
  <c r="N29" i="27"/>
  <c r="L29" i="27"/>
  <c r="D29" i="27"/>
  <c r="B29" i="27"/>
  <c r="Z28" i="27"/>
  <c r="X28" i="27"/>
  <c r="P28" i="27"/>
  <c r="N28" i="27"/>
  <c r="D28" i="27"/>
  <c r="L28" i="27" s="1"/>
  <c r="B28" i="27"/>
  <c r="Z27" i="27"/>
  <c r="P27" i="27"/>
  <c r="X27" i="27" s="1"/>
  <c r="N27" i="27"/>
  <c r="L27" i="27"/>
  <c r="D27" i="27"/>
  <c r="B27" i="27"/>
  <c r="Z26" i="27"/>
  <c r="X26" i="27"/>
  <c r="P26" i="27"/>
  <c r="N26" i="27"/>
  <c r="L26" i="27"/>
  <c r="D26" i="27"/>
  <c r="B26" i="27"/>
  <c r="Z25" i="27"/>
  <c r="P25" i="27"/>
  <c r="X25" i="27" s="1"/>
  <c r="N25" i="27"/>
  <c r="D25" i="27"/>
  <c r="L25" i="27" s="1"/>
  <c r="B25" i="27"/>
  <c r="Z24" i="27"/>
  <c r="P24" i="27"/>
  <c r="X24" i="27" s="1"/>
  <c r="N24" i="27"/>
  <c r="D24" i="27"/>
  <c r="L24" i="27" s="1"/>
  <c r="B24" i="27"/>
  <c r="Z23" i="27"/>
  <c r="P23" i="27"/>
  <c r="X23" i="27" s="1"/>
  <c r="N23" i="27"/>
  <c r="L23" i="27"/>
  <c r="D23" i="27"/>
  <c r="B23" i="27"/>
  <c r="Z22" i="27"/>
  <c r="P22" i="27"/>
  <c r="X22" i="27" s="1"/>
  <c r="N22" i="27"/>
  <c r="D22" i="27"/>
  <c r="L22" i="27" s="1"/>
  <c r="B22" i="27"/>
  <c r="Z21" i="27"/>
  <c r="P21" i="27"/>
  <c r="X21" i="27" s="1"/>
  <c r="N21" i="27"/>
  <c r="D21" i="27"/>
  <c r="L21" i="27" s="1"/>
  <c r="B21" i="27"/>
  <c r="Z20" i="27"/>
  <c r="X20" i="27"/>
  <c r="P20" i="27"/>
  <c r="N20" i="27"/>
  <c r="D20" i="27"/>
  <c r="L20" i="27" s="1"/>
  <c r="B20" i="27"/>
  <c r="Z19" i="27"/>
  <c r="P19" i="27"/>
  <c r="X19" i="27" s="1"/>
  <c r="N19" i="27"/>
  <c r="D19" i="27"/>
  <c r="L19" i="27" s="1"/>
  <c r="B19" i="27"/>
  <c r="Z18" i="27"/>
  <c r="X18" i="27"/>
  <c r="P18" i="27"/>
  <c r="N18" i="27"/>
  <c r="L18" i="27"/>
  <c r="D18" i="27"/>
  <c r="B18" i="27"/>
  <c r="Z17" i="27"/>
  <c r="X17" i="27"/>
  <c r="P17" i="27"/>
  <c r="N17" i="27"/>
  <c r="L17" i="27"/>
  <c r="D17" i="27"/>
  <c r="B17" i="27"/>
  <c r="Z16" i="27"/>
  <c r="X16" i="27"/>
  <c r="P16" i="27"/>
  <c r="N16" i="27"/>
  <c r="D16" i="27"/>
  <c r="L16" i="27" s="1"/>
  <c r="B16" i="27"/>
  <c r="Z15" i="27"/>
  <c r="P15" i="27"/>
  <c r="X15" i="27" s="1"/>
  <c r="N15" i="27"/>
  <c r="L15" i="27"/>
  <c r="D15" i="27"/>
  <c r="B15" i="27"/>
  <c r="Z14" i="27"/>
  <c r="X14" i="27"/>
  <c r="P14" i="27"/>
  <c r="N14" i="27"/>
  <c r="L14" i="27"/>
  <c r="D14" i="27"/>
  <c r="B14" i="27"/>
  <c r="P13" i="27"/>
  <c r="P12" i="27" s="1"/>
  <c r="L13" i="27"/>
  <c r="N13" i="27" s="1"/>
  <c r="D13" i="27"/>
  <c r="B13" i="27"/>
  <c r="T12" i="27"/>
  <c r="V96" i="27" s="1"/>
  <c r="H12" i="27"/>
  <c r="J120" i="27" s="1"/>
  <c r="D4" i="27"/>
  <c r="Z94" i="24"/>
  <c r="X94" i="24"/>
  <c r="L94" i="24"/>
  <c r="N94" i="24" s="1"/>
  <c r="J94" i="24"/>
  <c r="T90" i="24"/>
  <c r="P90" i="24"/>
  <c r="L90" i="24"/>
  <c r="H90" i="24"/>
  <c r="N90" i="24" s="1"/>
  <c r="D90" i="24"/>
  <c r="X88" i="24"/>
  <c r="Z88" i="24" s="1"/>
  <c r="V88" i="24"/>
  <c r="N88" i="24"/>
  <c r="L88" i="24"/>
  <c r="B88" i="24"/>
  <c r="X87" i="24"/>
  <c r="Z87" i="24" s="1"/>
  <c r="T87" i="24"/>
  <c r="P87" i="24"/>
  <c r="N87" i="24"/>
  <c r="L87" i="24"/>
  <c r="H87" i="24"/>
  <c r="D87" i="24"/>
  <c r="B87" i="24"/>
  <c r="Z86" i="24"/>
  <c r="X86" i="24"/>
  <c r="N86" i="24"/>
  <c r="L86" i="24"/>
  <c r="J86" i="24"/>
  <c r="B86" i="24"/>
  <c r="Z85" i="24"/>
  <c r="X85" i="24"/>
  <c r="L85" i="24"/>
  <c r="N85" i="24" s="1"/>
  <c r="B85" i="24"/>
  <c r="Z84" i="24"/>
  <c r="T84" i="24"/>
  <c r="P84" i="24"/>
  <c r="X84" i="24" s="1"/>
  <c r="H84" i="24"/>
  <c r="D84" i="24"/>
  <c r="L84" i="24" s="1"/>
  <c r="N84" i="24" s="1"/>
  <c r="B84" i="24"/>
  <c r="X83" i="24"/>
  <c r="Z83" i="24" s="1"/>
  <c r="N83" i="24"/>
  <c r="L83" i="24"/>
  <c r="B83" i="24"/>
  <c r="X82" i="24"/>
  <c r="Z82" i="24" s="1"/>
  <c r="V82" i="24"/>
  <c r="L82" i="24"/>
  <c r="N82" i="24" s="1"/>
  <c r="B82" i="24"/>
  <c r="Z81" i="24"/>
  <c r="X81" i="24"/>
  <c r="N81" i="24"/>
  <c r="L81" i="24"/>
  <c r="B81" i="24"/>
  <c r="X80" i="24"/>
  <c r="Z80" i="24" s="1"/>
  <c r="V80" i="24"/>
  <c r="L80" i="24"/>
  <c r="N80" i="24" s="1"/>
  <c r="B80" i="24"/>
  <c r="T79" i="24"/>
  <c r="P79" i="24"/>
  <c r="X79" i="24" s="1"/>
  <c r="H79" i="24"/>
  <c r="D79" i="24"/>
  <c r="L79" i="24" s="1"/>
  <c r="B79" i="24"/>
  <c r="X78" i="24"/>
  <c r="Z78" i="24" s="1"/>
  <c r="N78" i="24"/>
  <c r="L78" i="24"/>
  <c r="B78" i="24"/>
  <c r="Z77" i="24"/>
  <c r="X77" i="24"/>
  <c r="N77" i="24"/>
  <c r="L77" i="24"/>
  <c r="B77" i="24"/>
  <c r="V76" i="24"/>
  <c r="T76" i="24"/>
  <c r="P76" i="24"/>
  <c r="L76" i="24"/>
  <c r="H76" i="24"/>
  <c r="N76" i="24" s="1"/>
  <c r="D76" i="24"/>
  <c r="B76" i="24"/>
  <c r="X75" i="24"/>
  <c r="Z75" i="24" s="1"/>
  <c r="V75" i="24"/>
  <c r="L75" i="24"/>
  <c r="N75" i="24" s="1"/>
  <c r="B75" i="24"/>
  <c r="Z74" i="24"/>
  <c r="X74" i="24"/>
  <c r="N74" i="24"/>
  <c r="L74" i="24"/>
  <c r="B74" i="24"/>
  <c r="T73" i="24"/>
  <c r="P73" i="24"/>
  <c r="X73" i="24" s="1"/>
  <c r="H73" i="24"/>
  <c r="D73" i="24"/>
  <c r="B73" i="24"/>
  <c r="X72" i="24"/>
  <c r="Z72" i="24" s="1"/>
  <c r="V72" i="24"/>
  <c r="N72" i="24"/>
  <c r="L72" i="24"/>
  <c r="J72" i="24"/>
  <c r="B72" i="24"/>
  <c r="T71" i="24"/>
  <c r="P71" i="24"/>
  <c r="X71" i="24" s="1"/>
  <c r="H71" i="24"/>
  <c r="N71" i="24" s="1"/>
  <c r="D71" i="24"/>
  <c r="B71" i="24"/>
  <c r="X70" i="24"/>
  <c r="Z70" i="24" s="1"/>
  <c r="N70" i="24"/>
  <c r="L70" i="24"/>
  <c r="B70" i="24"/>
  <c r="X69" i="24"/>
  <c r="Z69" i="24" s="1"/>
  <c r="T69" i="24"/>
  <c r="P69" i="24"/>
  <c r="N69" i="24"/>
  <c r="L69" i="24"/>
  <c r="H69" i="24"/>
  <c r="D69" i="24"/>
  <c r="B69" i="24"/>
  <c r="Z68" i="24"/>
  <c r="X68" i="24"/>
  <c r="L68" i="24"/>
  <c r="N68" i="24" s="1"/>
  <c r="B68" i="24"/>
  <c r="T67" i="24"/>
  <c r="P67" i="24"/>
  <c r="H67" i="24"/>
  <c r="D67" i="24"/>
  <c r="L67" i="24" s="1"/>
  <c r="B67" i="24"/>
  <c r="Z66" i="24"/>
  <c r="X66" i="24"/>
  <c r="V66" i="24"/>
  <c r="N66" i="24"/>
  <c r="L66" i="24"/>
  <c r="B66" i="24"/>
  <c r="X65" i="24"/>
  <c r="Z65" i="24" s="1"/>
  <c r="N65" i="24"/>
  <c r="L65" i="24"/>
  <c r="B65" i="24"/>
  <c r="X64" i="24"/>
  <c r="V64" i="24"/>
  <c r="T64" i="24"/>
  <c r="Z64" i="24" s="1"/>
  <c r="P64" i="24"/>
  <c r="L64" i="24"/>
  <c r="N64" i="24" s="1"/>
  <c r="J64" i="24"/>
  <c r="H64" i="24"/>
  <c r="D64" i="24"/>
  <c r="B64" i="24"/>
  <c r="X63" i="24"/>
  <c r="Z63" i="24" s="1"/>
  <c r="L63" i="24"/>
  <c r="N63" i="24" s="1"/>
  <c r="J63" i="24"/>
  <c r="B63" i="24"/>
  <c r="X62" i="24"/>
  <c r="T62" i="24"/>
  <c r="Z62" i="24" s="1"/>
  <c r="P62" i="24"/>
  <c r="H62" i="24"/>
  <c r="D62" i="24"/>
  <c r="B62" i="24"/>
  <c r="Z61" i="24"/>
  <c r="X61" i="24"/>
  <c r="N61" i="24"/>
  <c r="L61" i="24"/>
  <c r="B61" i="24"/>
  <c r="Z60" i="24"/>
  <c r="T60" i="24"/>
  <c r="P60" i="24"/>
  <c r="X60" i="24" s="1"/>
  <c r="N60" i="24"/>
  <c r="H60" i="24"/>
  <c r="D60" i="24"/>
  <c r="L60" i="24" s="1"/>
  <c r="B60" i="24"/>
  <c r="X59" i="24"/>
  <c r="Z59" i="24" s="1"/>
  <c r="L59" i="24"/>
  <c r="N59" i="24" s="1"/>
  <c r="B59" i="24"/>
  <c r="X58" i="24"/>
  <c r="Z58" i="24" s="1"/>
  <c r="V58" i="24"/>
  <c r="T58" i="24"/>
  <c r="P58" i="24"/>
  <c r="H58" i="24"/>
  <c r="N58" i="24" s="1"/>
  <c r="D58" i="24"/>
  <c r="L58" i="24" s="1"/>
  <c r="B58" i="24"/>
  <c r="Z57" i="24"/>
  <c r="X57" i="24"/>
  <c r="N57" i="24"/>
  <c r="L57" i="24"/>
  <c r="B57" i="24"/>
  <c r="Z56" i="24"/>
  <c r="X56" i="24"/>
  <c r="V56" i="24"/>
  <c r="N56" i="24"/>
  <c r="L56" i="24"/>
  <c r="B56" i="24"/>
  <c r="X55" i="24"/>
  <c r="Z55" i="24" s="1"/>
  <c r="L55" i="24"/>
  <c r="N55" i="24" s="1"/>
  <c r="J55" i="24"/>
  <c r="B55" i="24"/>
  <c r="Z54" i="24"/>
  <c r="X54" i="24"/>
  <c r="N54" i="24"/>
  <c r="L54" i="24"/>
  <c r="B54" i="24"/>
  <c r="Z53" i="24"/>
  <c r="X53" i="24"/>
  <c r="N53" i="24"/>
  <c r="L53" i="24"/>
  <c r="B53" i="24"/>
  <c r="X52" i="24"/>
  <c r="Z52" i="24" s="1"/>
  <c r="V52" i="24"/>
  <c r="N52" i="24"/>
  <c r="L52" i="24"/>
  <c r="B52" i="24"/>
  <c r="X51" i="24"/>
  <c r="Z51" i="24" s="1"/>
  <c r="L51" i="24"/>
  <c r="N51" i="24" s="1"/>
  <c r="B51" i="24"/>
  <c r="Z50" i="24"/>
  <c r="X50" i="24"/>
  <c r="N50" i="24"/>
  <c r="L50" i="24"/>
  <c r="B50" i="24"/>
  <c r="Z49" i="24"/>
  <c r="X49" i="24"/>
  <c r="N49" i="24"/>
  <c r="L49" i="24"/>
  <c r="B49" i="24"/>
  <c r="X48" i="24"/>
  <c r="Z48" i="24" s="1"/>
  <c r="V48" i="24"/>
  <c r="N48" i="24"/>
  <c r="L48" i="24"/>
  <c r="B48" i="24"/>
  <c r="X47" i="24"/>
  <c r="Z47" i="24" s="1"/>
  <c r="T47" i="24"/>
  <c r="P47" i="24"/>
  <c r="N47" i="24"/>
  <c r="L47" i="24"/>
  <c r="H47" i="24"/>
  <c r="D47" i="24"/>
  <c r="B47" i="24"/>
  <c r="Z46" i="24"/>
  <c r="X46" i="24"/>
  <c r="L46" i="24"/>
  <c r="N46" i="24" s="1"/>
  <c r="J46" i="24"/>
  <c r="B46" i="24"/>
  <c r="Z45" i="24"/>
  <c r="X45" i="24"/>
  <c r="L45" i="24"/>
  <c r="N45" i="24" s="1"/>
  <c r="B45" i="24"/>
  <c r="Z44" i="24"/>
  <c r="X44" i="24"/>
  <c r="N44" i="24"/>
  <c r="L44" i="24"/>
  <c r="J44" i="24"/>
  <c r="B44" i="24"/>
  <c r="X43" i="24"/>
  <c r="Z43" i="24" s="1"/>
  <c r="V43" i="24"/>
  <c r="L43" i="24"/>
  <c r="N43" i="24" s="1"/>
  <c r="B43" i="24"/>
  <c r="Z42" i="24"/>
  <c r="X42" i="24"/>
  <c r="N42" i="24"/>
  <c r="L42" i="24"/>
  <c r="B42" i="24"/>
  <c r="Z41" i="24"/>
  <c r="X41" i="24"/>
  <c r="V41" i="24"/>
  <c r="L41" i="24"/>
  <c r="N41" i="24" s="1"/>
  <c r="B41" i="24"/>
  <c r="Z40" i="24"/>
  <c r="X40" i="24"/>
  <c r="L40" i="24"/>
  <c r="N40" i="24" s="1"/>
  <c r="B40" i="24"/>
  <c r="X39" i="24"/>
  <c r="Z39" i="24" s="1"/>
  <c r="V39" i="24"/>
  <c r="L39" i="24"/>
  <c r="N39" i="24" s="1"/>
  <c r="B39" i="24"/>
  <c r="Z38" i="24"/>
  <c r="T38" i="24"/>
  <c r="P38" i="24"/>
  <c r="X38" i="24" s="1"/>
  <c r="H38" i="24"/>
  <c r="D38" i="24"/>
  <c r="L38" i="24" s="1"/>
  <c r="N38" i="24" s="1"/>
  <c r="B38" i="24"/>
  <c r="T37" i="24"/>
  <c r="P37" i="24"/>
  <c r="X37" i="24" s="1"/>
  <c r="H37" i="24"/>
  <c r="D37" i="24"/>
  <c r="L37" i="24" s="1"/>
  <c r="T35" i="24"/>
  <c r="Z33" i="24"/>
  <c r="X33" i="24"/>
  <c r="V33" i="24"/>
  <c r="N33" i="24"/>
  <c r="L33" i="24"/>
  <c r="B33" i="24"/>
  <c r="Z32" i="24"/>
  <c r="X32" i="24"/>
  <c r="V32" i="24"/>
  <c r="N32" i="24"/>
  <c r="L32" i="24"/>
  <c r="B32" i="24"/>
  <c r="Z31" i="24"/>
  <c r="X31" i="24"/>
  <c r="V31" i="24"/>
  <c r="N31" i="24"/>
  <c r="L31" i="24"/>
  <c r="B31" i="24"/>
  <c r="Z30" i="24"/>
  <c r="X30" i="24"/>
  <c r="V30" i="24"/>
  <c r="N30" i="24"/>
  <c r="L30" i="24"/>
  <c r="B30" i="24"/>
  <c r="Z29" i="24"/>
  <c r="X29" i="24"/>
  <c r="V29" i="24"/>
  <c r="N29" i="24"/>
  <c r="L29" i="24"/>
  <c r="B29" i="24"/>
  <c r="Z28" i="24"/>
  <c r="X28" i="24"/>
  <c r="V28" i="24"/>
  <c r="N28" i="24"/>
  <c r="L28" i="24"/>
  <c r="B28" i="24"/>
  <c r="Z27" i="24"/>
  <c r="X27" i="24"/>
  <c r="V27" i="24"/>
  <c r="N27" i="24"/>
  <c r="L27" i="24"/>
  <c r="B27" i="24"/>
  <c r="X26" i="24"/>
  <c r="Z26" i="24" s="1"/>
  <c r="V26" i="24"/>
  <c r="L26" i="24"/>
  <c r="N26" i="24" s="1"/>
  <c r="B26" i="24"/>
  <c r="T25" i="24"/>
  <c r="P25" i="24"/>
  <c r="X25" i="24" s="1"/>
  <c r="H25" i="24"/>
  <c r="D25" i="24"/>
  <c r="L25" i="24" s="1"/>
  <c r="Z23" i="24"/>
  <c r="P23" i="24"/>
  <c r="X23" i="24" s="1"/>
  <c r="N23" i="24"/>
  <c r="L23" i="24"/>
  <c r="D23" i="24"/>
  <c r="B23" i="24"/>
  <c r="Z22" i="24"/>
  <c r="X22" i="24"/>
  <c r="P22" i="24"/>
  <c r="N22" i="24"/>
  <c r="L22" i="24"/>
  <c r="D22" i="24"/>
  <c r="B22" i="24"/>
  <c r="Z21" i="24"/>
  <c r="P21" i="24"/>
  <c r="X21" i="24" s="1"/>
  <c r="N21" i="24"/>
  <c r="D21" i="24"/>
  <c r="L21" i="24" s="1"/>
  <c r="B21" i="24"/>
  <c r="P20" i="24"/>
  <c r="X20" i="24" s="1"/>
  <c r="Z20" i="24" s="1"/>
  <c r="D20" i="24"/>
  <c r="L20" i="24" s="1"/>
  <c r="N20" i="24" s="1"/>
  <c r="B20" i="24"/>
  <c r="Z19" i="24"/>
  <c r="X19" i="24"/>
  <c r="P19" i="24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P17" i="24"/>
  <c r="X17" i="24" s="1"/>
  <c r="N17" i="24"/>
  <c r="D17" i="24"/>
  <c r="L17" i="24" s="1"/>
  <c r="B17" i="24"/>
  <c r="Z16" i="24"/>
  <c r="P16" i="24"/>
  <c r="X16" i="24" s="1"/>
  <c r="N16" i="24"/>
  <c r="L16" i="24"/>
  <c r="D16" i="24"/>
  <c r="B16" i="24"/>
  <c r="Z15" i="24"/>
  <c r="P15" i="24"/>
  <c r="X15" i="24" s="1"/>
  <c r="N15" i="24"/>
  <c r="D15" i="24"/>
  <c r="L15" i="24" s="1"/>
  <c r="B15" i="24"/>
  <c r="Z14" i="24"/>
  <c r="P14" i="24"/>
  <c r="N14" i="24"/>
  <c r="D14" i="24"/>
  <c r="L14" i="24" s="1"/>
  <c r="B14" i="24"/>
  <c r="Z13" i="24"/>
  <c r="X13" i="24"/>
  <c r="P13" i="24"/>
  <c r="N13" i="24"/>
  <c r="D13" i="24"/>
  <c r="B13" i="24"/>
  <c r="T12" i="24"/>
  <c r="V77" i="24" s="1"/>
  <c r="H12" i="24"/>
  <c r="J68" i="24" s="1"/>
  <c r="D4" i="24"/>
  <c r="Z108" i="21"/>
  <c r="X108" i="21"/>
  <c r="N108" i="21"/>
  <c r="L108" i="21"/>
  <c r="T104" i="21"/>
  <c r="Z104" i="21" s="1"/>
  <c r="R104" i="21"/>
  <c r="P104" i="21"/>
  <c r="X104" i="21" s="1"/>
  <c r="H104" i="21"/>
  <c r="N104" i="21" s="1"/>
  <c r="D104" i="21"/>
  <c r="L104" i="21" s="1"/>
  <c r="X102" i="21"/>
  <c r="Z102" i="21" s="1"/>
  <c r="L102" i="21"/>
  <c r="N102" i="21" s="1"/>
  <c r="B102" i="21"/>
  <c r="X101" i="21"/>
  <c r="T101" i="21"/>
  <c r="Z101" i="21" s="1"/>
  <c r="P101" i="21"/>
  <c r="N101" i="21"/>
  <c r="L101" i="21"/>
  <c r="J101" i="21"/>
  <c r="H101" i="21"/>
  <c r="D101" i="21"/>
  <c r="B101" i="21"/>
  <c r="X100" i="21"/>
  <c r="Z100" i="21" s="1"/>
  <c r="N100" i="21"/>
  <c r="L100" i="21"/>
  <c r="J100" i="21"/>
  <c r="F100" i="21"/>
  <c r="B100" i="21"/>
  <c r="X99" i="21"/>
  <c r="T99" i="21"/>
  <c r="Z99" i="21" s="1"/>
  <c r="P99" i="21"/>
  <c r="J99" i="21"/>
  <c r="H99" i="21"/>
  <c r="D99" i="21"/>
  <c r="B99" i="21"/>
  <c r="Z98" i="21"/>
  <c r="X98" i="21"/>
  <c r="R98" i="21"/>
  <c r="N98" i="21"/>
  <c r="L98" i="21"/>
  <c r="B98" i="21"/>
  <c r="Z97" i="21"/>
  <c r="T97" i="21"/>
  <c r="P97" i="21"/>
  <c r="X97" i="21" s="1"/>
  <c r="N97" i="21"/>
  <c r="H97" i="21"/>
  <c r="D97" i="21"/>
  <c r="L97" i="21" s="1"/>
  <c r="B97" i="21"/>
  <c r="X96" i="21"/>
  <c r="Z96" i="21" s="1"/>
  <c r="N96" i="21"/>
  <c r="L96" i="21"/>
  <c r="B96" i="21"/>
  <c r="Z95" i="21"/>
  <c r="X95" i="21"/>
  <c r="L95" i="21"/>
  <c r="N95" i="21" s="1"/>
  <c r="B95" i="21"/>
  <c r="T94" i="21"/>
  <c r="P94" i="21"/>
  <c r="X94" i="21" s="1"/>
  <c r="H94" i="21"/>
  <c r="N94" i="21" s="1"/>
  <c r="D94" i="21"/>
  <c r="L94" i="21" s="1"/>
  <c r="B94" i="21"/>
  <c r="X93" i="21"/>
  <c r="Z93" i="21" s="1"/>
  <c r="N93" i="21"/>
  <c r="L93" i="21"/>
  <c r="B93" i="21"/>
  <c r="X92" i="21"/>
  <c r="Z92" i="21" s="1"/>
  <c r="L92" i="21"/>
  <c r="N92" i="21" s="1"/>
  <c r="J92" i="21"/>
  <c r="F92" i="21"/>
  <c r="B92" i="21"/>
  <c r="X91" i="21"/>
  <c r="Z91" i="21" s="1"/>
  <c r="N91" i="21"/>
  <c r="L91" i="21"/>
  <c r="B91" i="21"/>
  <c r="Z90" i="21"/>
  <c r="X90" i="21"/>
  <c r="N90" i="21"/>
  <c r="L90" i="21"/>
  <c r="F90" i="21"/>
  <c r="B90" i="21"/>
  <c r="X89" i="21"/>
  <c r="Z89" i="21" s="1"/>
  <c r="N89" i="21"/>
  <c r="L89" i="21"/>
  <c r="B89" i="21"/>
  <c r="X88" i="21"/>
  <c r="Z88" i="21" s="1"/>
  <c r="L88" i="21"/>
  <c r="N88" i="21" s="1"/>
  <c r="J88" i="21"/>
  <c r="B88" i="21"/>
  <c r="X87" i="21"/>
  <c r="Z87" i="21" s="1"/>
  <c r="N87" i="21"/>
  <c r="L87" i="21"/>
  <c r="B87" i="21"/>
  <c r="X86" i="21"/>
  <c r="Z86" i="21" s="1"/>
  <c r="T86" i="21"/>
  <c r="P86" i="21"/>
  <c r="L86" i="21"/>
  <c r="N86" i="21" s="1"/>
  <c r="H86" i="21"/>
  <c r="D86" i="21"/>
  <c r="B86" i="21"/>
  <c r="Z85" i="21"/>
  <c r="X85" i="21"/>
  <c r="L85" i="21"/>
  <c r="N85" i="21" s="1"/>
  <c r="J85" i="21"/>
  <c r="B85" i="21"/>
  <c r="X84" i="21"/>
  <c r="T84" i="21"/>
  <c r="P84" i="21"/>
  <c r="H84" i="21"/>
  <c r="D84" i="21"/>
  <c r="B84" i="21"/>
  <c r="X83" i="21"/>
  <c r="Z83" i="21" s="1"/>
  <c r="L83" i="21"/>
  <c r="N83" i="21" s="1"/>
  <c r="B83" i="21"/>
  <c r="X82" i="21"/>
  <c r="Z82" i="21" s="1"/>
  <c r="L82" i="21"/>
  <c r="N82" i="21" s="1"/>
  <c r="B82" i="21"/>
  <c r="X81" i="21"/>
  <c r="Z81" i="21" s="1"/>
  <c r="L81" i="21"/>
  <c r="N81" i="21" s="1"/>
  <c r="J81" i="21"/>
  <c r="B81" i="21"/>
  <c r="X80" i="21"/>
  <c r="Z80" i="21" s="1"/>
  <c r="L80" i="21"/>
  <c r="N80" i="21" s="1"/>
  <c r="B80" i="21"/>
  <c r="X79" i="21"/>
  <c r="Z79" i="21" s="1"/>
  <c r="T79" i="21"/>
  <c r="P79" i="21"/>
  <c r="L79" i="21"/>
  <c r="J79" i="21"/>
  <c r="H79" i="21"/>
  <c r="N79" i="21" s="1"/>
  <c r="D79" i="21"/>
  <c r="B79" i="21"/>
  <c r="Z78" i="21"/>
  <c r="X78" i="21"/>
  <c r="N78" i="21"/>
  <c r="L78" i="21"/>
  <c r="B78" i="21"/>
  <c r="Z77" i="21"/>
  <c r="X77" i="21"/>
  <c r="N77" i="21"/>
  <c r="L77" i="21"/>
  <c r="B77" i="21"/>
  <c r="T76" i="21"/>
  <c r="P76" i="21"/>
  <c r="X76" i="21" s="1"/>
  <c r="Z76" i="21" s="1"/>
  <c r="N76" i="21"/>
  <c r="L76" i="21"/>
  <c r="H76" i="21"/>
  <c r="D76" i="21"/>
  <c r="B76" i="21"/>
  <c r="Z75" i="21"/>
  <c r="X75" i="21"/>
  <c r="L75" i="21"/>
  <c r="N75" i="21" s="1"/>
  <c r="J75" i="21"/>
  <c r="B75" i="21"/>
  <c r="Z74" i="21"/>
  <c r="X74" i="21"/>
  <c r="N74" i="21"/>
  <c r="L74" i="21"/>
  <c r="F74" i="21"/>
  <c r="B74" i="21"/>
  <c r="Z73" i="21"/>
  <c r="X73" i="21"/>
  <c r="N73" i="21"/>
  <c r="L73" i="21"/>
  <c r="J73" i="21"/>
  <c r="B73" i="21"/>
  <c r="X72" i="21"/>
  <c r="Z72" i="21" s="1"/>
  <c r="N72" i="21"/>
  <c r="L72" i="21"/>
  <c r="B72" i="21"/>
  <c r="T71" i="21"/>
  <c r="P71" i="21"/>
  <c r="X71" i="21" s="1"/>
  <c r="Z71" i="21" s="1"/>
  <c r="H71" i="21"/>
  <c r="D71" i="21"/>
  <c r="L71" i="21" s="1"/>
  <c r="N71" i="21" s="1"/>
  <c r="B71" i="21"/>
  <c r="Z70" i="21"/>
  <c r="X70" i="21"/>
  <c r="R70" i="21"/>
  <c r="N70" i="21"/>
  <c r="L70" i="21"/>
  <c r="B70" i="21"/>
  <c r="X69" i="21"/>
  <c r="T69" i="21"/>
  <c r="Z69" i="21" s="1"/>
  <c r="P69" i="21"/>
  <c r="N69" i="21"/>
  <c r="L69" i="21"/>
  <c r="J69" i="21"/>
  <c r="H69" i="21"/>
  <c r="D69" i="21"/>
  <c r="B69" i="21"/>
  <c r="X68" i="21"/>
  <c r="Z68" i="21" s="1"/>
  <c r="L68" i="21"/>
  <c r="N68" i="21" s="1"/>
  <c r="J68" i="21"/>
  <c r="B68" i="21"/>
  <c r="X67" i="21"/>
  <c r="T67" i="21"/>
  <c r="Z67" i="21" s="1"/>
  <c r="P67" i="21"/>
  <c r="J67" i="21"/>
  <c r="H67" i="21"/>
  <c r="D67" i="21"/>
  <c r="B67" i="21"/>
  <c r="Z66" i="21"/>
  <c r="X66" i="21"/>
  <c r="N66" i="21"/>
  <c r="L66" i="21"/>
  <c r="B66" i="21"/>
  <c r="Z65" i="21"/>
  <c r="T65" i="21"/>
  <c r="P65" i="21"/>
  <c r="X65" i="21" s="1"/>
  <c r="H65" i="21"/>
  <c r="D65" i="21"/>
  <c r="L65" i="21" s="1"/>
  <c r="N65" i="21" s="1"/>
  <c r="B65" i="21"/>
  <c r="X64" i="21"/>
  <c r="Z64" i="21" s="1"/>
  <c r="N64" i="21"/>
  <c r="L64" i="21"/>
  <c r="B64" i="21"/>
  <c r="X63" i="21"/>
  <c r="Z63" i="21" s="1"/>
  <c r="T63" i="21"/>
  <c r="P63" i="21"/>
  <c r="L63" i="21"/>
  <c r="J63" i="21"/>
  <c r="H63" i="21"/>
  <c r="N63" i="21" s="1"/>
  <c r="D63" i="21"/>
  <c r="B63" i="21"/>
  <c r="Z62" i="21"/>
  <c r="X62" i="21"/>
  <c r="N62" i="21"/>
  <c r="L62" i="21"/>
  <c r="F62" i="21"/>
  <c r="B62" i="21"/>
  <c r="T61" i="21"/>
  <c r="P61" i="21"/>
  <c r="L61" i="21"/>
  <c r="H61" i="21"/>
  <c r="N61" i="21" s="1"/>
  <c r="D61" i="21"/>
  <c r="B61" i="21"/>
  <c r="X60" i="21"/>
  <c r="Z60" i="21" s="1"/>
  <c r="N60" i="21"/>
  <c r="L60" i="21"/>
  <c r="B60" i="21"/>
  <c r="Z59" i="21"/>
  <c r="T59" i="21"/>
  <c r="P59" i="21"/>
  <c r="X59" i="21" s="1"/>
  <c r="H59" i="21"/>
  <c r="D59" i="21"/>
  <c r="L59" i="21" s="1"/>
  <c r="N59" i="21" s="1"/>
  <c r="B59" i="21"/>
  <c r="Z58" i="21"/>
  <c r="X58" i="21"/>
  <c r="N58" i="21"/>
  <c r="L58" i="21"/>
  <c r="B58" i="21"/>
  <c r="X57" i="21"/>
  <c r="T57" i="21"/>
  <c r="Z57" i="21" s="1"/>
  <c r="P57" i="21"/>
  <c r="N57" i="21"/>
  <c r="L57" i="21"/>
  <c r="J57" i="21"/>
  <c r="H57" i="21"/>
  <c r="D57" i="21"/>
  <c r="B57" i="21"/>
  <c r="X56" i="21"/>
  <c r="Z56" i="21" s="1"/>
  <c r="L56" i="21"/>
  <c r="N56" i="21" s="1"/>
  <c r="J56" i="21"/>
  <c r="B56" i="21"/>
  <c r="Z55" i="21"/>
  <c r="X55" i="21"/>
  <c r="N55" i="21"/>
  <c r="L55" i="21"/>
  <c r="B55" i="21"/>
  <c r="Z54" i="21"/>
  <c r="X54" i="21"/>
  <c r="T54" i="21"/>
  <c r="P54" i="21"/>
  <c r="H54" i="21"/>
  <c r="D54" i="21"/>
  <c r="L54" i="21" s="1"/>
  <c r="N54" i="21" s="1"/>
  <c r="B54" i="21"/>
  <c r="Z53" i="21"/>
  <c r="X53" i="21"/>
  <c r="L53" i="21"/>
  <c r="N53" i="21" s="1"/>
  <c r="J53" i="21"/>
  <c r="B53" i="21"/>
  <c r="T52" i="21"/>
  <c r="P52" i="21"/>
  <c r="H52" i="21"/>
  <c r="D52" i="21"/>
  <c r="L52" i="21" s="1"/>
  <c r="B52" i="21"/>
  <c r="Z51" i="21"/>
  <c r="X51" i="21"/>
  <c r="L51" i="21"/>
  <c r="N51" i="21" s="1"/>
  <c r="B51" i="21"/>
  <c r="T50" i="21"/>
  <c r="P50" i="21"/>
  <c r="X50" i="21" s="1"/>
  <c r="H50" i="21"/>
  <c r="N50" i="21" s="1"/>
  <c r="D50" i="21"/>
  <c r="L50" i="21" s="1"/>
  <c r="B50" i="21"/>
  <c r="X49" i="21"/>
  <c r="Z49" i="21" s="1"/>
  <c r="V49" i="21"/>
  <c r="N49" i="21"/>
  <c r="L49" i="21"/>
  <c r="B49" i="21"/>
  <c r="T48" i="21"/>
  <c r="P48" i="21"/>
  <c r="X48" i="21" s="1"/>
  <c r="Z48" i="21" s="1"/>
  <c r="N48" i="21"/>
  <c r="L48" i="21"/>
  <c r="H48" i="21"/>
  <c r="D48" i="21"/>
  <c r="B48" i="21"/>
  <c r="Z47" i="21"/>
  <c r="X47" i="21"/>
  <c r="N47" i="21"/>
  <c r="L47" i="21"/>
  <c r="J47" i="21"/>
  <c r="B47" i="21"/>
  <c r="Z46" i="21"/>
  <c r="X46" i="21"/>
  <c r="N46" i="21"/>
  <c r="L46" i="21"/>
  <c r="F46" i="21"/>
  <c r="B46" i="21"/>
  <c r="Z45" i="21"/>
  <c r="X45" i="21"/>
  <c r="L45" i="21"/>
  <c r="N45" i="21" s="1"/>
  <c r="J45" i="21"/>
  <c r="B45" i="21"/>
  <c r="X44" i="21"/>
  <c r="Z44" i="21" s="1"/>
  <c r="N44" i="21"/>
  <c r="L44" i="21"/>
  <c r="B44" i="21"/>
  <c r="Z43" i="21"/>
  <c r="X43" i="21"/>
  <c r="N43" i="21"/>
  <c r="L43" i="21"/>
  <c r="J43" i="21"/>
  <c r="B43" i="21"/>
  <c r="Z42" i="21"/>
  <c r="X42" i="21"/>
  <c r="L42" i="21"/>
  <c r="N42" i="21" s="1"/>
  <c r="F42" i="21"/>
  <c r="B42" i="21"/>
  <c r="Z41" i="21"/>
  <c r="X41" i="21"/>
  <c r="L41" i="21"/>
  <c r="N41" i="21" s="1"/>
  <c r="J41" i="21"/>
  <c r="B41" i="21"/>
  <c r="Z40" i="21"/>
  <c r="X40" i="21"/>
  <c r="N40" i="21"/>
  <c r="L40" i="21"/>
  <c r="B40" i="21"/>
  <c r="Z39" i="21"/>
  <c r="X39" i="21"/>
  <c r="L39" i="21"/>
  <c r="N39" i="21" s="1"/>
  <c r="J39" i="21"/>
  <c r="B39" i="21"/>
  <c r="Z38" i="21"/>
  <c r="X38" i="21"/>
  <c r="L38" i="21"/>
  <c r="N38" i="21" s="1"/>
  <c r="F38" i="21"/>
  <c r="B38" i="21"/>
  <c r="Z37" i="21"/>
  <c r="T37" i="21"/>
  <c r="P37" i="21"/>
  <c r="X37" i="21" s="1"/>
  <c r="H37" i="21"/>
  <c r="D37" i="21"/>
  <c r="L37" i="21" s="1"/>
  <c r="N37" i="21" s="1"/>
  <c r="B37" i="21"/>
  <c r="X36" i="21"/>
  <c r="Z36" i="21" s="1"/>
  <c r="L36" i="21"/>
  <c r="N36" i="21" s="1"/>
  <c r="B36" i="21"/>
  <c r="Z35" i="21"/>
  <c r="X35" i="21"/>
  <c r="L35" i="21"/>
  <c r="N35" i="21" s="1"/>
  <c r="B35" i="21"/>
  <c r="X34" i="21"/>
  <c r="Z34" i="21" s="1"/>
  <c r="N34" i="21"/>
  <c r="L34" i="21"/>
  <c r="B34" i="21"/>
  <c r="Z33" i="21"/>
  <c r="X33" i="21"/>
  <c r="N33" i="21"/>
  <c r="L33" i="21"/>
  <c r="J33" i="21"/>
  <c r="F33" i="21"/>
  <c r="B33" i="21"/>
  <c r="X32" i="21"/>
  <c r="Z32" i="21" s="1"/>
  <c r="L32" i="21"/>
  <c r="N32" i="21" s="1"/>
  <c r="B32" i="21"/>
  <c r="X31" i="21"/>
  <c r="Z31" i="21" s="1"/>
  <c r="V31" i="21"/>
  <c r="L31" i="21"/>
  <c r="N31" i="21" s="1"/>
  <c r="B31" i="21"/>
  <c r="X30" i="21"/>
  <c r="Z30" i="21" s="1"/>
  <c r="N30" i="21"/>
  <c r="L30" i="21"/>
  <c r="B30" i="21"/>
  <c r="X29" i="21"/>
  <c r="Z29" i="21" s="1"/>
  <c r="L29" i="21"/>
  <c r="N29" i="21" s="1"/>
  <c r="J29" i="21"/>
  <c r="F29" i="21"/>
  <c r="B29" i="21"/>
  <c r="X28" i="21"/>
  <c r="Z28" i="21" s="1"/>
  <c r="L28" i="21"/>
  <c r="N28" i="21" s="1"/>
  <c r="B28" i="21"/>
  <c r="Z27" i="21"/>
  <c r="X27" i="21"/>
  <c r="T27" i="21"/>
  <c r="P27" i="21"/>
  <c r="L27" i="21"/>
  <c r="J27" i="21"/>
  <c r="H27" i="21"/>
  <c r="N27" i="21" s="1"/>
  <c r="D27" i="21"/>
  <c r="B27" i="21"/>
  <c r="X26" i="21"/>
  <c r="Z26" i="21" s="1"/>
  <c r="T26" i="21"/>
  <c r="P26" i="21"/>
  <c r="H26" i="21"/>
  <c r="D26" i="21"/>
  <c r="L26" i="21" s="1"/>
  <c r="N26" i="21" s="1"/>
  <c r="D24" i="21"/>
  <c r="D106" i="21" s="1"/>
  <c r="Z22" i="21"/>
  <c r="X22" i="21"/>
  <c r="N22" i="21"/>
  <c r="L22" i="21"/>
  <c r="J22" i="21"/>
  <c r="B22" i="21"/>
  <c r="Z21" i="21"/>
  <c r="X21" i="21"/>
  <c r="R21" i="21"/>
  <c r="N21" i="21"/>
  <c r="L21" i="21"/>
  <c r="J21" i="21"/>
  <c r="B21" i="21"/>
  <c r="X20" i="21"/>
  <c r="Z20" i="21" s="1"/>
  <c r="L20" i="21"/>
  <c r="N20" i="21" s="1"/>
  <c r="J20" i="21"/>
  <c r="F20" i="21"/>
  <c r="B20" i="21"/>
  <c r="Z19" i="21"/>
  <c r="X19" i="21"/>
  <c r="T19" i="21"/>
  <c r="R19" i="21"/>
  <c r="P19" i="21"/>
  <c r="H19" i="21"/>
  <c r="F19" i="21"/>
  <c r="D19" i="21"/>
  <c r="Z17" i="21"/>
  <c r="X17" i="21"/>
  <c r="P17" i="21"/>
  <c r="N17" i="21"/>
  <c r="L17" i="21"/>
  <c r="D17" i="21"/>
  <c r="B17" i="21"/>
  <c r="Z16" i="21"/>
  <c r="P16" i="21"/>
  <c r="X16" i="21" s="1"/>
  <c r="N16" i="21"/>
  <c r="D16" i="21"/>
  <c r="L16" i="21" s="1"/>
  <c r="B16" i="21"/>
  <c r="P15" i="21"/>
  <c r="X15" i="21" s="1"/>
  <c r="Z15" i="21" s="1"/>
  <c r="L15" i="21"/>
  <c r="N15" i="21" s="1"/>
  <c r="D15" i="21"/>
  <c r="B15" i="21"/>
  <c r="Z14" i="21"/>
  <c r="X14" i="21"/>
  <c r="P14" i="21"/>
  <c r="N14" i="21"/>
  <c r="L14" i="21"/>
  <c r="D14" i="21"/>
  <c r="B14" i="21"/>
  <c r="P13" i="21"/>
  <c r="P12" i="21" s="1"/>
  <c r="R59" i="21" s="1"/>
  <c r="L13" i="21"/>
  <c r="N13" i="21" s="1"/>
  <c r="D13" i="21"/>
  <c r="D12" i="21" s="1"/>
  <c r="F81" i="21" s="1"/>
  <c r="B13" i="21"/>
  <c r="X12" i="21"/>
  <c r="T12" i="21"/>
  <c r="V33" i="21" s="1"/>
  <c r="H12" i="21"/>
  <c r="J102" i="21" s="1"/>
  <c r="D4" i="21"/>
  <c r="X246" i="18"/>
  <c r="Z246" i="18" s="1"/>
  <c r="N246" i="18"/>
  <c r="L246" i="18"/>
  <c r="Z242" i="18"/>
  <c r="X242" i="18"/>
  <c r="P242" i="18"/>
  <c r="N242" i="18"/>
  <c r="D242" i="18"/>
  <c r="L242" i="18" s="1"/>
  <c r="B242" i="18"/>
  <c r="Z241" i="18"/>
  <c r="X241" i="18"/>
  <c r="V241" i="18"/>
  <c r="P241" i="18"/>
  <c r="N241" i="18"/>
  <c r="D241" i="18"/>
  <c r="L241" i="18" s="1"/>
  <c r="B241" i="18"/>
  <c r="X240" i="18"/>
  <c r="Z240" i="18" s="1"/>
  <c r="V240" i="18"/>
  <c r="P240" i="18"/>
  <c r="D240" i="18"/>
  <c r="L240" i="18" s="1"/>
  <c r="N240" i="18" s="1"/>
  <c r="B240" i="18"/>
  <c r="P239" i="18"/>
  <c r="D239" i="18"/>
  <c r="L239" i="18" s="1"/>
  <c r="N239" i="18" s="1"/>
  <c r="B239" i="18"/>
  <c r="Z238" i="18"/>
  <c r="P238" i="18"/>
  <c r="X238" i="18" s="1"/>
  <c r="N238" i="18"/>
  <c r="D238" i="18"/>
  <c r="D237" i="18" s="1"/>
  <c r="L237" i="18" s="1"/>
  <c r="B238" i="18"/>
  <c r="T237" i="18"/>
  <c r="N237" i="18"/>
  <c r="H237" i="18"/>
  <c r="X235" i="18"/>
  <c r="Z235" i="18" s="1"/>
  <c r="L235" i="18"/>
  <c r="N235" i="18" s="1"/>
  <c r="J235" i="18"/>
  <c r="B235" i="18"/>
  <c r="T234" i="18"/>
  <c r="Z234" i="18" s="1"/>
  <c r="P234" i="18"/>
  <c r="X234" i="18" s="1"/>
  <c r="H234" i="18"/>
  <c r="D234" i="18"/>
  <c r="B234" i="18"/>
  <c r="Z233" i="18"/>
  <c r="X233" i="18"/>
  <c r="N233" i="18"/>
  <c r="L233" i="18"/>
  <c r="B233" i="18"/>
  <c r="Z232" i="18"/>
  <c r="X232" i="18"/>
  <c r="L232" i="18"/>
  <c r="N232" i="18" s="1"/>
  <c r="B232" i="18"/>
  <c r="Z231" i="18"/>
  <c r="X231" i="18"/>
  <c r="V231" i="18"/>
  <c r="N231" i="18"/>
  <c r="L231" i="18"/>
  <c r="B231" i="18"/>
  <c r="T230" i="18"/>
  <c r="P230" i="18"/>
  <c r="X230" i="18" s="1"/>
  <c r="Z230" i="18" s="1"/>
  <c r="H230" i="18"/>
  <c r="D230" i="18"/>
  <c r="L230" i="18" s="1"/>
  <c r="B230" i="18"/>
  <c r="Z229" i="18"/>
  <c r="X229" i="18"/>
  <c r="N229" i="18"/>
  <c r="L229" i="18"/>
  <c r="B229" i="18"/>
  <c r="T228" i="18"/>
  <c r="P228" i="18"/>
  <c r="X228" i="18" s="1"/>
  <c r="N228" i="18"/>
  <c r="L228" i="18"/>
  <c r="H228" i="18"/>
  <c r="D228" i="18"/>
  <c r="B228" i="18"/>
  <c r="X227" i="18"/>
  <c r="Z227" i="18" s="1"/>
  <c r="L227" i="18"/>
  <c r="N227" i="18" s="1"/>
  <c r="J227" i="18"/>
  <c r="B227" i="18"/>
  <c r="X226" i="18"/>
  <c r="Z226" i="18" s="1"/>
  <c r="N226" i="18"/>
  <c r="L226" i="18"/>
  <c r="B226" i="18"/>
  <c r="Z225" i="18"/>
  <c r="X225" i="18"/>
  <c r="T225" i="18"/>
  <c r="P225" i="18"/>
  <c r="H225" i="18"/>
  <c r="D225" i="18"/>
  <c r="L225" i="18" s="1"/>
  <c r="B225" i="18"/>
  <c r="Z224" i="18"/>
  <c r="X224" i="18"/>
  <c r="L224" i="18"/>
  <c r="N224" i="18" s="1"/>
  <c r="B224" i="18"/>
  <c r="X223" i="18"/>
  <c r="Z223" i="18" s="1"/>
  <c r="V223" i="18"/>
  <c r="L223" i="18"/>
  <c r="N223" i="18" s="1"/>
  <c r="B223" i="18"/>
  <c r="Z222" i="18"/>
  <c r="X222" i="18"/>
  <c r="L222" i="18"/>
  <c r="N222" i="18" s="1"/>
  <c r="B222" i="18"/>
  <c r="Z221" i="18"/>
  <c r="X221" i="18"/>
  <c r="N221" i="18"/>
  <c r="L221" i="18"/>
  <c r="B221" i="18"/>
  <c r="Z220" i="18"/>
  <c r="X220" i="18"/>
  <c r="L220" i="18"/>
  <c r="N220" i="18" s="1"/>
  <c r="B220" i="18"/>
  <c r="X219" i="18"/>
  <c r="Z219" i="18" s="1"/>
  <c r="V219" i="18"/>
  <c r="L219" i="18"/>
  <c r="N219" i="18" s="1"/>
  <c r="B219" i="18"/>
  <c r="Z218" i="18"/>
  <c r="X218" i="18"/>
  <c r="L218" i="18"/>
  <c r="N218" i="18" s="1"/>
  <c r="B218" i="18"/>
  <c r="Z217" i="18"/>
  <c r="X217" i="18"/>
  <c r="N217" i="18"/>
  <c r="L217" i="18"/>
  <c r="B217" i="18"/>
  <c r="Z216" i="18"/>
  <c r="X216" i="18"/>
  <c r="L216" i="18"/>
  <c r="N216" i="18" s="1"/>
  <c r="B216" i="18"/>
  <c r="X215" i="18"/>
  <c r="Z215" i="18" s="1"/>
  <c r="V215" i="18"/>
  <c r="T215" i="18"/>
  <c r="P215" i="18"/>
  <c r="H215" i="18"/>
  <c r="D215" i="18"/>
  <c r="L215" i="18" s="1"/>
  <c r="B215" i="18"/>
  <c r="Z214" i="18"/>
  <c r="X214" i="18"/>
  <c r="N214" i="18"/>
  <c r="L214" i="18"/>
  <c r="B214" i="18"/>
  <c r="Z213" i="18"/>
  <c r="X213" i="18"/>
  <c r="N213" i="18"/>
  <c r="L213" i="18"/>
  <c r="B213" i="18"/>
  <c r="T212" i="18"/>
  <c r="Z212" i="18" s="1"/>
  <c r="P212" i="18"/>
  <c r="X212" i="18" s="1"/>
  <c r="L212" i="18"/>
  <c r="N212" i="18" s="1"/>
  <c r="H212" i="18"/>
  <c r="D212" i="18"/>
  <c r="B212" i="18"/>
  <c r="X211" i="18"/>
  <c r="Z211" i="18" s="1"/>
  <c r="L211" i="18"/>
  <c r="N211" i="18" s="1"/>
  <c r="J211" i="18"/>
  <c r="B211" i="18"/>
  <c r="X210" i="18"/>
  <c r="Z210" i="18" s="1"/>
  <c r="N210" i="18"/>
  <c r="L210" i="18"/>
  <c r="B210" i="18"/>
  <c r="Z209" i="18"/>
  <c r="X209" i="18"/>
  <c r="N209" i="18"/>
  <c r="L209" i="18"/>
  <c r="B209" i="18"/>
  <c r="X208" i="18"/>
  <c r="Z208" i="18" s="1"/>
  <c r="V208" i="18"/>
  <c r="N208" i="18"/>
  <c r="L208" i="18"/>
  <c r="B208" i="18"/>
  <c r="T207" i="18"/>
  <c r="P207" i="18"/>
  <c r="X207" i="18" s="1"/>
  <c r="N207" i="18"/>
  <c r="L207" i="18"/>
  <c r="H207" i="18"/>
  <c r="D207" i="18"/>
  <c r="B207" i="18"/>
  <c r="Z206" i="18"/>
  <c r="X206" i="18"/>
  <c r="L206" i="18"/>
  <c r="N206" i="18" s="1"/>
  <c r="B206" i="18"/>
  <c r="Z205" i="18"/>
  <c r="X205" i="18"/>
  <c r="N205" i="18"/>
  <c r="L205" i="18"/>
  <c r="B205" i="18"/>
  <c r="Z204" i="18"/>
  <c r="X204" i="18"/>
  <c r="L204" i="18"/>
  <c r="N204" i="18" s="1"/>
  <c r="B204" i="18"/>
  <c r="X203" i="18"/>
  <c r="Z203" i="18" s="1"/>
  <c r="V203" i="18"/>
  <c r="L203" i="18"/>
  <c r="N203" i="18" s="1"/>
  <c r="B203" i="18"/>
  <c r="T202" i="18"/>
  <c r="P202" i="18"/>
  <c r="X202" i="18" s="1"/>
  <c r="Z202" i="18" s="1"/>
  <c r="H202" i="18"/>
  <c r="N202" i="18" s="1"/>
  <c r="D202" i="18"/>
  <c r="L202" i="18" s="1"/>
  <c r="B202" i="18"/>
  <c r="Z201" i="18"/>
  <c r="X201" i="18"/>
  <c r="N201" i="18"/>
  <c r="L201" i="18"/>
  <c r="B201" i="18"/>
  <c r="X200" i="18"/>
  <c r="Z200" i="18" s="1"/>
  <c r="L200" i="18"/>
  <c r="N200" i="18" s="1"/>
  <c r="J200" i="18"/>
  <c r="B200" i="18"/>
  <c r="Z199" i="18"/>
  <c r="X199" i="18"/>
  <c r="N199" i="18"/>
  <c r="L199" i="18"/>
  <c r="B199" i="18"/>
  <c r="X198" i="18"/>
  <c r="Z198" i="18" s="1"/>
  <c r="N198" i="18"/>
  <c r="L198" i="18"/>
  <c r="B198" i="18"/>
  <c r="T197" i="18"/>
  <c r="P197" i="18"/>
  <c r="H197" i="18"/>
  <c r="D197" i="18"/>
  <c r="L197" i="18" s="1"/>
  <c r="B197" i="18"/>
  <c r="X196" i="18"/>
  <c r="Z196" i="18" s="1"/>
  <c r="V196" i="18"/>
  <c r="N196" i="18"/>
  <c r="L196" i="18"/>
  <c r="B196" i="18"/>
  <c r="T195" i="18"/>
  <c r="Z195" i="18" s="1"/>
  <c r="P195" i="18"/>
  <c r="X195" i="18" s="1"/>
  <c r="N195" i="18"/>
  <c r="L195" i="18"/>
  <c r="H195" i="18"/>
  <c r="D195" i="18"/>
  <c r="B195" i="18"/>
  <c r="Z194" i="18"/>
  <c r="X194" i="18"/>
  <c r="N194" i="18"/>
  <c r="L194" i="18"/>
  <c r="B194" i="18"/>
  <c r="T193" i="18"/>
  <c r="Z193" i="18" s="1"/>
  <c r="P193" i="18"/>
  <c r="X193" i="18" s="1"/>
  <c r="N193" i="18"/>
  <c r="L193" i="18"/>
  <c r="J193" i="18"/>
  <c r="H193" i="18"/>
  <c r="D193" i="18"/>
  <c r="B193" i="18"/>
  <c r="X192" i="18"/>
  <c r="Z192" i="18" s="1"/>
  <c r="L192" i="18"/>
  <c r="N192" i="18" s="1"/>
  <c r="J192" i="18"/>
  <c r="B192" i="18"/>
  <c r="T191" i="18"/>
  <c r="P191" i="18"/>
  <c r="X191" i="18" s="1"/>
  <c r="H191" i="18"/>
  <c r="D191" i="18"/>
  <c r="L191" i="18" s="1"/>
  <c r="B191" i="18"/>
  <c r="X190" i="18"/>
  <c r="Z190" i="18" s="1"/>
  <c r="N190" i="18"/>
  <c r="L190" i="18"/>
  <c r="B190" i="18"/>
  <c r="Z189" i="18"/>
  <c r="X189" i="18"/>
  <c r="T189" i="18"/>
  <c r="P189" i="18"/>
  <c r="H189" i="18"/>
  <c r="D189" i="18"/>
  <c r="L189" i="18" s="1"/>
  <c r="B189" i="18"/>
  <c r="Z188" i="18"/>
  <c r="X188" i="18"/>
  <c r="L188" i="18"/>
  <c r="N188" i="18" s="1"/>
  <c r="B188" i="18"/>
  <c r="X187" i="18"/>
  <c r="Z187" i="18" s="1"/>
  <c r="V187" i="18"/>
  <c r="N187" i="18"/>
  <c r="L187" i="18"/>
  <c r="B187" i="18"/>
  <c r="Z186" i="18"/>
  <c r="X186" i="18"/>
  <c r="N186" i="18"/>
  <c r="L186" i="18"/>
  <c r="B186" i="18"/>
  <c r="T185" i="18"/>
  <c r="P185" i="18"/>
  <c r="X185" i="18" s="1"/>
  <c r="L185" i="18"/>
  <c r="N185" i="18" s="1"/>
  <c r="J185" i="18"/>
  <c r="H185" i="18"/>
  <c r="D185" i="18"/>
  <c r="B185" i="18"/>
  <c r="X184" i="18"/>
  <c r="Z184" i="18" s="1"/>
  <c r="L184" i="18"/>
  <c r="N184" i="18" s="1"/>
  <c r="J184" i="18"/>
  <c r="B184" i="18"/>
  <c r="X183" i="18"/>
  <c r="Z183" i="18" s="1"/>
  <c r="L183" i="18"/>
  <c r="N183" i="18" s="1"/>
  <c r="B183" i="18"/>
  <c r="X182" i="18"/>
  <c r="Z182" i="18" s="1"/>
  <c r="T182" i="18"/>
  <c r="P182" i="18"/>
  <c r="H182" i="18"/>
  <c r="D182" i="18"/>
  <c r="L182" i="18" s="1"/>
  <c r="B182" i="18"/>
  <c r="Z181" i="18"/>
  <c r="X181" i="18"/>
  <c r="N181" i="18"/>
  <c r="L181" i="18"/>
  <c r="B181" i="18"/>
  <c r="T180" i="18"/>
  <c r="P180" i="18"/>
  <c r="L180" i="18"/>
  <c r="H180" i="18"/>
  <c r="N180" i="18" s="1"/>
  <c r="D180" i="18"/>
  <c r="B180" i="18"/>
  <c r="X179" i="18"/>
  <c r="Z179" i="18" s="1"/>
  <c r="V179" i="18"/>
  <c r="L179" i="18"/>
  <c r="N179" i="18" s="1"/>
  <c r="B179" i="18"/>
  <c r="T178" i="18"/>
  <c r="P178" i="18"/>
  <c r="X178" i="18" s="1"/>
  <c r="Z178" i="18" s="1"/>
  <c r="H178" i="18"/>
  <c r="D178" i="18"/>
  <c r="L178" i="18" s="1"/>
  <c r="B178" i="18"/>
  <c r="Z177" i="18"/>
  <c r="X177" i="18"/>
  <c r="N177" i="18"/>
  <c r="L177" i="18"/>
  <c r="B177" i="18"/>
  <c r="Z176" i="18"/>
  <c r="X176" i="18"/>
  <c r="N176" i="18"/>
  <c r="L176" i="18"/>
  <c r="J176" i="18"/>
  <c r="B176" i="18"/>
  <c r="T175" i="18"/>
  <c r="Z175" i="18" s="1"/>
  <c r="P175" i="18"/>
  <c r="X175" i="18" s="1"/>
  <c r="H175" i="18"/>
  <c r="D175" i="18"/>
  <c r="L175" i="18" s="1"/>
  <c r="B175" i="18"/>
  <c r="Z174" i="18"/>
  <c r="X174" i="18"/>
  <c r="N174" i="18"/>
  <c r="L174" i="18"/>
  <c r="B174" i="18"/>
  <c r="Z173" i="18"/>
  <c r="X173" i="18"/>
  <c r="N173" i="18"/>
  <c r="L173" i="18"/>
  <c r="B173" i="18"/>
  <c r="V172" i="18"/>
  <c r="T172" i="18"/>
  <c r="P172" i="18"/>
  <c r="L172" i="18"/>
  <c r="H172" i="18"/>
  <c r="N172" i="18" s="1"/>
  <c r="D172" i="18"/>
  <c r="B172" i="18"/>
  <c r="X171" i="18"/>
  <c r="Z171" i="18" s="1"/>
  <c r="V171" i="18"/>
  <c r="L171" i="18"/>
  <c r="N171" i="18" s="1"/>
  <c r="B171" i="18"/>
  <c r="Z170" i="18"/>
  <c r="X170" i="18"/>
  <c r="N170" i="18"/>
  <c r="L170" i="18"/>
  <c r="B170" i="18"/>
  <c r="T169" i="18"/>
  <c r="P169" i="18"/>
  <c r="X169" i="18" s="1"/>
  <c r="L169" i="18"/>
  <c r="J169" i="18"/>
  <c r="H169" i="18"/>
  <c r="N169" i="18" s="1"/>
  <c r="D169" i="18"/>
  <c r="B169" i="18"/>
  <c r="X168" i="18"/>
  <c r="Z168" i="18" s="1"/>
  <c r="L168" i="18"/>
  <c r="N168" i="18" s="1"/>
  <c r="J168" i="18"/>
  <c r="B168" i="18"/>
  <c r="T167" i="18"/>
  <c r="P167" i="18"/>
  <c r="X167" i="18" s="1"/>
  <c r="H167" i="18"/>
  <c r="D167" i="18"/>
  <c r="L167" i="18" s="1"/>
  <c r="B167" i="18"/>
  <c r="X166" i="18"/>
  <c r="Z166" i="18" s="1"/>
  <c r="N166" i="18"/>
  <c r="L166" i="18"/>
  <c r="B166" i="18"/>
  <c r="Z165" i="18"/>
  <c r="X165" i="18"/>
  <c r="N165" i="18"/>
  <c r="L165" i="18"/>
  <c r="B165" i="18"/>
  <c r="T164" i="18"/>
  <c r="V164" i="18" s="1"/>
  <c r="P164" i="18"/>
  <c r="L164" i="18"/>
  <c r="H164" i="18"/>
  <c r="N164" i="18" s="1"/>
  <c r="D164" i="18"/>
  <c r="B164" i="18"/>
  <c r="X163" i="18"/>
  <c r="Z163" i="18" s="1"/>
  <c r="V163" i="18"/>
  <c r="L163" i="18"/>
  <c r="N163" i="18" s="1"/>
  <c r="B163" i="18"/>
  <c r="T162" i="18"/>
  <c r="P162" i="18"/>
  <c r="X162" i="18" s="1"/>
  <c r="Z162" i="18" s="1"/>
  <c r="H162" i="18"/>
  <c r="N162" i="18" s="1"/>
  <c r="D162" i="18"/>
  <c r="L162" i="18" s="1"/>
  <c r="B162" i="18"/>
  <c r="Z161" i="18"/>
  <c r="X161" i="18"/>
  <c r="N161" i="18"/>
  <c r="L161" i="18"/>
  <c r="B161" i="18"/>
  <c r="Z160" i="18"/>
  <c r="X160" i="18"/>
  <c r="N160" i="18"/>
  <c r="L160" i="18"/>
  <c r="J160" i="18"/>
  <c r="B160" i="18"/>
  <c r="X159" i="18"/>
  <c r="Z159" i="18" s="1"/>
  <c r="L159" i="18"/>
  <c r="N159" i="18" s="1"/>
  <c r="B159" i="18"/>
  <c r="X158" i="18"/>
  <c r="Z158" i="18" s="1"/>
  <c r="N158" i="18"/>
  <c r="L158" i="18"/>
  <c r="B158" i="18"/>
  <c r="Z157" i="18"/>
  <c r="X157" i="18"/>
  <c r="N157" i="18"/>
  <c r="L157" i="18"/>
  <c r="B157" i="18"/>
  <c r="X156" i="18"/>
  <c r="Z156" i="18" s="1"/>
  <c r="L156" i="18"/>
  <c r="N156" i="18" s="1"/>
  <c r="J156" i="18"/>
  <c r="B156" i="18"/>
  <c r="X155" i="18"/>
  <c r="Z155" i="18" s="1"/>
  <c r="L155" i="18"/>
  <c r="N155" i="18" s="1"/>
  <c r="B155" i="18"/>
  <c r="Z154" i="18"/>
  <c r="X154" i="18"/>
  <c r="N154" i="18"/>
  <c r="L154" i="18"/>
  <c r="B154" i="18"/>
  <c r="Z153" i="18"/>
  <c r="X153" i="18"/>
  <c r="N153" i="18"/>
  <c r="L153" i="18"/>
  <c r="B153" i="18"/>
  <c r="X152" i="18"/>
  <c r="Z152" i="18" s="1"/>
  <c r="L152" i="18"/>
  <c r="N152" i="18" s="1"/>
  <c r="J152" i="18"/>
  <c r="B152" i="18"/>
  <c r="T151" i="18"/>
  <c r="Z151" i="18" s="1"/>
  <c r="P151" i="18"/>
  <c r="X151" i="18" s="1"/>
  <c r="H151" i="18"/>
  <c r="D151" i="18"/>
  <c r="L151" i="18" s="1"/>
  <c r="B151" i="18"/>
  <c r="X150" i="18"/>
  <c r="Z150" i="18" s="1"/>
  <c r="N150" i="18"/>
  <c r="L150" i="18"/>
  <c r="B150" i="18"/>
  <c r="Z149" i="18"/>
  <c r="X149" i="18"/>
  <c r="N149" i="18"/>
  <c r="L149" i="18"/>
  <c r="B149" i="18"/>
  <c r="X148" i="18"/>
  <c r="Z148" i="18" s="1"/>
  <c r="V148" i="18"/>
  <c r="N148" i="18"/>
  <c r="L148" i="18"/>
  <c r="B148" i="18"/>
  <c r="Z147" i="18"/>
  <c r="X147" i="18"/>
  <c r="N147" i="18"/>
  <c r="L147" i="18"/>
  <c r="J147" i="18"/>
  <c r="B147" i="18"/>
  <c r="Z146" i="18"/>
  <c r="X146" i="18"/>
  <c r="N146" i="18"/>
  <c r="L146" i="18"/>
  <c r="B146" i="18"/>
  <c r="Z145" i="18"/>
  <c r="X145" i="18"/>
  <c r="N145" i="18"/>
  <c r="L145" i="18"/>
  <c r="B145" i="18"/>
  <c r="X144" i="18"/>
  <c r="Z144" i="18" s="1"/>
  <c r="V144" i="18"/>
  <c r="N144" i="18"/>
  <c r="L144" i="18"/>
  <c r="B144" i="18"/>
  <c r="X143" i="18"/>
  <c r="Z143" i="18" s="1"/>
  <c r="L143" i="18"/>
  <c r="N143" i="18" s="1"/>
  <c r="J143" i="18"/>
  <c r="B143" i="18"/>
  <c r="X142" i="18"/>
  <c r="Z142" i="18" s="1"/>
  <c r="N142" i="18"/>
  <c r="L142" i="18"/>
  <c r="B142" i="18"/>
  <c r="Z141" i="18"/>
  <c r="X141" i="18"/>
  <c r="N141" i="18"/>
  <c r="L141" i="18"/>
  <c r="B141" i="18"/>
  <c r="T140" i="18"/>
  <c r="P140" i="18"/>
  <c r="L140" i="18"/>
  <c r="H140" i="18"/>
  <c r="N140" i="18" s="1"/>
  <c r="D140" i="18"/>
  <c r="B140" i="18"/>
  <c r="X139" i="18"/>
  <c r="V139" i="18"/>
  <c r="T139" i="18"/>
  <c r="Z139" i="18" s="1"/>
  <c r="P139" i="18"/>
  <c r="H139" i="18"/>
  <c r="D139" i="18"/>
  <c r="L139" i="18" s="1"/>
  <c r="Z135" i="18"/>
  <c r="X135" i="18"/>
  <c r="V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J128" i="18"/>
  <c r="B128" i="18"/>
  <c r="Z127" i="18"/>
  <c r="X127" i="18"/>
  <c r="V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J124" i="18"/>
  <c r="B124" i="18"/>
  <c r="Z123" i="18"/>
  <c r="X123" i="18"/>
  <c r="V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J120" i="18"/>
  <c r="B120" i="18"/>
  <c r="Z119" i="18"/>
  <c r="X119" i="18"/>
  <c r="V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J116" i="18"/>
  <c r="B116" i="18"/>
  <c r="Z115" i="18"/>
  <c r="X115" i="18"/>
  <c r="V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J112" i="18"/>
  <c r="B112" i="18"/>
  <c r="Z111" i="18"/>
  <c r="X111" i="18"/>
  <c r="V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J108" i="18"/>
  <c r="B108" i="18"/>
  <c r="Z107" i="18"/>
  <c r="X107" i="18"/>
  <c r="V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J104" i="18"/>
  <c r="B104" i="18"/>
  <c r="Z103" i="18"/>
  <c r="X103" i="18"/>
  <c r="V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J100" i="18"/>
  <c r="B100" i="18"/>
  <c r="Z99" i="18"/>
  <c r="X99" i="18"/>
  <c r="V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J96" i="18"/>
  <c r="B96" i="18"/>
  <c r="Z95" i="18"/>
  <c r="X95" i="18"/>
  <c r="V95" i="18"/>
  <c r="N95" i="18"/>
  <c r="L95" i="18"/>
  <c r="B95" i="18"/>
  <c r="Z94" i="18"/>
  <c r="X94" i="18"/>
  <c r="N94" i="18"/>
  <c r="L94" i="18"/>
  <c r="B94" i="18"/>
  <c r="Z93" i="18"/>
  <c r="X93" i="18"/>
  <c r="L93" i="18"/>
  <c r="N93" i="18" s="1"/>
  <c r="B93" i="18"/>
  <c r="T92" i="18"/>
  <c r="P92" i="18"/>
  <c r="X92" i="18" s="1"/>
  <c r="Z92" i="18" s="1"/>
  <c r="N92" i="18"/>
  <c r="H92" i="18"/>
  <c r="D92" i="18"/>
  <c r="L92" i="18" s="1"/>
  <c r="Z90" i="18"/>
  <c r="P90" i="18"/>
  <c r="X90" i="18" s="1"/>
  <c r="N90" i="18"/>
  <c r="D90" i="18"/>
  <c r="L90" i="18" s="1"/>
  <c r="B90" i="18"/>
  <c r="Z89" i="18"/>
  <c r="X89" i="18"/>
  <c r="P89" i="18"/>
  <c r="N89" i="18"/>
  <c r="L89" i="18"/>
  <c r="D89" i="18"/>
  <c r="B89" i="18"/>
  <c r="Z88" i="18"/>
  <c r="X88" i="18"/>
  <c r="P88" i="18"/>
  <c r="N88" i="18"/>
  <c r="L88" i="18"/>
  <c r="D88" i="18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L86" i="18"/>
  <c r="D86" i="18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D84" i="18"/>
  <c r="L84" i="18" s="1"/>
  <c r="B84" i="18"/>
  <c r="Z83" i="18"/>
  <c r="X83" i="18"/>
  <c r="P83" i="18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X80" i="18"/>
  <c r="P80" i="18"/>
  <c r="N80" i="18"/>
  <c r="L80" i="18"/>
  <c r="D80" i="18"/>
  <c r="B80" i="18"/>
  <c r="Z79" i="18"/>
  <c r="X79" i="18"/>
  <c r="P79" i="18"/>
  <c r="N79" i="18"/>
  <c r="D79" i="18"/>
  <c r="L79" i="18" s="1"/>
  <c r="B79" i="18"/>
  <c r="Z78" i="18"/>
  <c r="P78" i="18"/>
  <c r="X78" i="18" s="1"/>
  <c r="N78" i="18"/>
  <c r="D78" i="18"/>
  <c r="L78" i="18" s="1"/>
  <c r="B78" i="18"/>
  <c r="Z77" i="18"/>
  <c r="X77" i="18"/>
  <c r="P77" i="18"/>
  <c r="N77" i="18"/>
  <c r="L77" i="18"/>
  <c r="D77" i="18"/>
  <c r="B77" i="18"/>
  <c r="Z76" i="18"/>
  <c r="X76" i="18"/>
  <c r="P76" i="18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P74" i="18"/>
  <c r="X74" i="18" s="1"/>
  <c r="N74" i="18"/>
  <c r="L74" i="18"/>
  <c r="D74" i="18"/>
  <c r="B74" i="18"/>
  <c r="Z73" i="18"/>
  <c r="X73" i="18"/>
  <c r="P73" i="18"/>
  <c r="N73" i="18"/>
  <c r="L73" i="18"/>
  <c r="D73" i="18"/>
  <c r="B73" i="18"/>
  <c r="Z72" i="18"/>
  <c r="P72" i="18"/>
  <c r="X72" i="18" s="1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X68" i="18"/>
  <c r="P68" i="18"/>
  <c r="N68" i="18"/>
  <c r="L68" i="18"/>
  <c r="D68" i="18"/>
  <c r="B68" i="18"/>
  <c r="Z67" i="18"/>
  <c r="X67" i="18"/>
  <c r="P67" i="18"/>
  <c r="N67" i="18"/>
  <c r="D67" i="18"/>
  <c r="L67" i="18" s="1"/>
  <c r="B67" i="18"/>
  <c r="Z66" i="18"/>
  <c r="P66" i="18"/>
  <c r="X66" i="18" s="1"/>
  <c r="N66" i="18"/>
  <c r="D66" i="18"/>
  <c r="L66" i="18" s="1"/>
  <c r="B66" i="18"/>
  <c r="Z65" i="18"/>
  <c r="X65" i="18"/>
  <c r="P65" i="18"/>
  <c r="N65" i="18"/>
  <c r="L65" i="18"/>
  <c r="D65" i="18"/>
  <c r="B65" i="18"/>
  <c r="Z64" i="18"/>
  <c r="X64" i="18"/>
  <c r="P64" i="18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L61" i="18"/>
  <c r="D61" i="18"/>
  <c r="B61" i="18"/>
  <c r="Z60" i="18"/>
  <c r="P60" i="18"/>
  <c r="X60" i="18" s="1"/>
  <c r="N60" i="18"/>
  <c r="D60" i="18"/>
  <c r="L60" i="18" s="1"/>
  <c r="B60" i="18"/>
  <c r="Z59" i="18"/>
  <c r="P59" i="18"/>
  <c r="X59" i="18" s="1"/>
  <c r="N59" i="18"/>
  <c r="D59" i="18"/>
  <c r="L59" i="18" s="1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D57" i="18"/>
  <c r="L57" i="18" s="1"/>
  <c r="B57" i="18"/>
  <c r="Z56" i="18"/>
  <c r="X56" i="18"/>
  <c r="P56" i="18"/>
  <c r="N56" i="18"/>
  <c r="L56" i="18"/>
  <c r="D56" i="18"/>
  <c r="B56" i="18"/>
  <c r="Z55" i="18"/>
  <c r="X55" i="18"/>
  <c r="P55" i="18"/>
  <c r="N55" i="18"/>
  <c r="D55" i="18"/>
  <c r="L55" i="18" s="1"/>
  <c r="B55" i="18"/>
  <c r="Z54" i="18"/>
  <c r="P54" i="18"/>
  <c r="X54" i="18" s="1"/>
  <c r="N54" i="18"/>
  <c r="D54" i="18"/>
  <c r="L54" i="18" s="1"/>
  <c r="B54" i="18"/>
  <c r="Z53" i="18"/>
  <c r="X53" i="18"/>
  <c r="P53" i="18"/>
  <c r="N53" i="18"/>
  <c r="L53" i="18"/>
  <c r="D53" i="18"/>
  <c r="B53" i="18"/>
  <c r="Z52" i="18"/>
  <c r="X52" i="18"/>
  <c r="P52" i="18"/>
  <c r="N52" i="18"/>
  <c r="L52" i="18"/>
  <c r="D52" i="18"/>
  <c r="B52" i="18"/>
  <c r="Z51" i="18"/>
  <c r="P51" i="18"/>
  <c r="X51" i="18" s="1"/>
  <c r="N51" i="18"/>
  <c r="D51" i="18"/>
  <c r="L51" i="18" s="1"/>
  <c r="B51" i="18"/>
  <c r="Z50" i="18"/>
  <c r="P50" i="18"/>
  <c r="X50" i="18" s="1"/>
  <c r="N50" i="18"/>
  <c r="L50" i="18"/>
  <c r="D50" i="18"/>
  <c r="B50" i="18"/>
  <c r="Z49" i="18"/>
  <c r="X49" i="18"/>
  <c r="P49" i="18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P47" i="18"/>
  <c r="X47" i="18" s="1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X44" i="18"/>
  <c r="P44" i="18"/>
  <c r="N44" i="18"/>
  <c r="D44" i="18"/>
  <c r="L44" i="18" s="1"/>
  <c r="B44" i="18"/>
  <c r="Z43" i="18"/>
  <c r="X43" i="18"/>
  <c r="P43" i="18"/>
  <c r="N43" i="18"/>
  <c r="D43" i="18"/>
  <c r="L43" i="18" s="1"/>
  <c r="B43" i="18"/>
  <c r="Z42" i="18"/>
  <c r="P42" i="18"/>
  <c r="X42" i="18" s="1"/>
  <c r="N42" i="18"/>
  <c r="D42" i="18"/>
  <c r="L42" i="18" s="1"/>
  <c r="B42" i="18"/>
  <c r="Z41" i="18"/>
  <c r="X41" i="18"/>
  <c r="P41" i="18"/>
  <c r="N41" i="18"/>
  <c r="L41" i="18"/>
  <c r="D41" i="18"/>
  <c r="B41" i="18"/>
  <c r="Z40" i="18"/>
  <c r="X40" i="18"/>
  <c r="P40" i="18"/>
  <c r="N40" i="18"/>
  <c r="L40" i="18"/>
  <c r="D40" i="18"/>
  <c r="B40" i="18"/>
  <c r="Z39" i="18"/>
  <c r="P39" i="18"/>
  <c r="X39" i="18" s="1"/>
  <c r="N39" i="18"/>
  <c r="D39" i="18"/>
  <c r="L39" i="18" s="1"/>
  <c r="B39" i="18"/>
  <c r="P38" i="18"/>
  <c r="X38" i="18" s="1"/>
  <c r="Z38" i="18" s="1"/>
  <c r="L38" i="18"/>
  <c r="N38" i="18" s="1"/>
  <c r="D38" i="18"/>
  <c r="B38" i="18"/>
  <c r="Z37" i="18"/>
  <c r="X37" i="18"/>
  <c r="P37" i="18"/>
  <c r="N37" i="18"/>
  <c r="L37" i="18"/>
  <c r="D37" i="18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D35" i="18"/>
  <c r="L35" i="18" s="1"/>
  <c r="B35" i="18"/>
  <c r="Z34" i="18"/>
  <c r="P34" i="18"/>
  <c r="X34" i="18" s="1"/>
  <c r="N34" i="18"/>
  <c r="L34" i="18"/>
  <c r="D34" i="18"/>
  <c r="B34" i="18"/>
  <c r="Z33" i="18"/>
  <c r="P33" i="18"/>
  <c r="X33" i="18" s="1"/>
  <c r="N33" i="18"/>
  <c r="D33" i="18"/>
  <c r="L33" i="18" s="1"/>
  <c r="B33" i="18"/>
  <c r="Z32" i="18"/>
  <c r="X32" i="18"/>
  <c r="P32" i="18"/>
  <c r="N32" i="18"/>
  <c r="D32" i="18"/>
  <c r="L32" i="18" s="1"/>
  <c r="B32" i="18"/>
  <c r="Z31" i="18"/>
  <c r="X31" i="18"/>
  <c r="P31" i="18"/>
  <c r="N31" i="18"/>
  <c r="D31" i="18"/>
  <c r="L31" i="18" s="1"/>
  <c r="B31" i="18"/>
  <c r="Z30" i="18"/>
  <c r="P30" i="18"/>
  <c r="X30" i="18" s="1"/>
  <c r="N30" i="18"/>
  <c r="D30" i="18"/>
  <c r="L30" i="18" s="1"/>
  <c r="B30" i="18"/>
  <c r="Z29" i="18"/>
  <c r="X29" i="18"/>
  <c r="P29" i="18"/>
  <c r="N29" i="18"/>
  <c r="L29" i="18"/>
  <c r="D29" i="18"/>
  <c r="B29" i="18"/>
  <c r="Z28" i="18"/>
  <c r="X28" i="18"/>
  <c r="P28" i="18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L26" i="18"/>
  <c r="D26" i="18"/>
  <c r="B26" i="18"/>
  <c r="Z25" i="18"/>
  <c r="X25" i="18"/>
  <c r="P25" i="18"/>
  <c r="N25" i="18"/>
  <c r="L25" i="18"/>
  <c r="D25" i="18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D23" i="18"/>
  <c r="L23" i="18" s="1"/>
  <c r="B23" i="18"/>
  <c r="Z22" i="18"/>
  <c r="P22" i="18"/>
  <c r="X22" i="18" s="1"/>
  <c r="N22" i="18"/>
  <c r="L22" i="18"/>
  <c r="D22" i="18"/>
  <c r="B22" i="18"/>
  <c r="Z21" i="18"/>
  <c r="P21" i="18"/>
  <c r="X21" i="18" s="1"/>
  <c r="N21" i="18"/>
  <c r="D21" i="18"/>
  <c r="L21" i="18" s="1"/>
  <c r="B21" i="18"/>
  <c r="Z20" i="18"/>
  <c r="X20" i="18"/>
  <c r="P20" i="18"/>
  <c r="N20" i="18"/>
  <c r="D20" i="18"/>
  <c r="L20" i="18" s="1"/>
  <c r="B20" i="18"/>
  <c r="Z19" i="18"/>
  <c r="X19" i="18"/>
  <c r="P19" i="18"/>
  <c r="N19" i="18"/>
  <c r="D19" i="18"/>
  <c r="L19" i="18" s="1"/>
  <c r="B19" i="18"/>
  <c r="Z18" i="18"/>
  <c r="P18" i="18"/>
  <c r="X18" i="18" s="1"/>
  <c r="N18" i="18"/>
  <c r="D18" i="18"/>
  <c r="L18" i="18" s="1"/>
  <c r="B18" i="18"/>
  <c r="Z17" i="18"/>
  <c r="X17" i="18"/>
  <c r="P17" i="18"/>
  <c r="N17" i="18"/>
  <c r="L17" i="18"/>
  <c r="D17" i="18"/>
  <c r="B17" i="18"/>
  <c r="Z16" i="18"/>
  <c r="X16" i="18"/>
  <c r="P16" i="18"/>
  <c r="N16" i="18"/>
  <c r="L16" i="18"/>
  <c r="D16" i="18"/>
  <c r="B16" i="18"/>
  <c r="Z15" i="18"/>
  <c r="X15" i="18"/>
  <c r="P15" i="18"/>
  <c r="N15" i="18"/>
  <c r="D15" i="18"/>
  <c r="L15" i="18" s="1"/>
  <c r="B15" i="18"/>
  <c r="Z14" i="18"/>
  <c r="P14" i="18"/>
  <c r="N14" i="18"/>
  <c r="L14" i="18"/>
  <c r="D14" i="18"/>
  <c r="B14" i="18"/>
  <c r="Z13" i="18"/>
  <c r="X13" i="18"/>
  <c r="P13" i="18"/>
  <c r="L13" i="18"/>
  <c r="N13" i="18" s="1"/>
  <c r="D13" i="18"/>
  <c r="B13" i="18"/>
  <c r="T12" i="18"/>
  <c r="V225" i="18" s="1"/>
  <c r="H12" i="18"/>
  <c r="J238" i="18" s="1"/>
  <c r="D4" i="18"/>
  <c r="X223" i="15"/>
  <c r="Z223" i="15" s="1"/>
  <c r="L223" i="15"/>
  <c r="N223" i="15" s="1"/>
  <c r="Z219" i="15"/>
  <c r="P219" i="15"/>
  <c r="X219" i="15" s="1"/>
  <c r="N219" i="15"/>
  <c r="D219" i="15"/>
  <c r="B219" i="15"/>
  <c r="Z218" i="15"/>
  <c r="P218" i="15"/>
  <c r="X218" i="15" s="1"/>
  <c r="N218" i="15"/>
  <c r="L218" i="15"/>
  <c r="D218" i="15"/>
  <c r="B218" i="15"/>
  <c r="X217" i="15"/>
  <c r="Z217" i="15" s="1"/>
  <c r="P217" i="15"/>
  <c r="P215" i="15" s="1"/>
  <c r="J217" i="15"/>
  <c r="D217" i="15"/>
  <c r="L217" i="15" s="1"/>
  <c r="N217" i="15" s="1"/>
  <c r="B217" i="15"/>
  <c r="X216" i="15"/>
  <c r="Z216" i="15" s="1"/>
  <c r="P216" i="15"/>
  <c r="D216" i="15"/>
  <c r="L216" i="15" s="1"/>
  <c r="N216" i="15" s="1"/>
  <c r="B216" i="15"/>
  <c r="T215" i="15"/>
  <c r="H215" i="15"/>
  <c r="X213" i="15"/>
  <c r="Z213" i="15" s="1"/>
  <c r="L213" i="15"/>
  <c r="N213" i="15" s="1"/>
  <c r="B213" i="15"/>
  <c r="T212" i="15"/>
  <c r="P212" i="15"/>
  <c r="X212" i="15" s="1"/>
  <c r="Z212" i="15" s="1"/>
  <c r="H212" i="15"/>
  <c r="D212" i="15"/>
  <c r="L212" i="15" s="1"/>
  <c r="N212" i="15" s="1"/>
  <c r="B212" i="15"/>
  <c r="X211" i="15"/>
  <c r="Z211" i="15" s="1"/>
  <c r="N211" i="15"/>
  <c r="L211" i="15"/>
  <c r="B211" i="15"/>
  <c r="X210" i="15"/>
  <c r="Z210" i="15" s="1"/>
  <c r="N210" i="15"/>
  <c r="L210" i="15"/>
  <c r="J210" i="15"/>
  <c r="B210" i="15"/>
  <c r="Z209" i="15"/>
  <c r="X209" i="15"/>
  <c r="N209" i="15"/>
  <c r="L209" i="15"/>
  <c r="B209" i="15"/>
  <c r="V208" i="15"/>
  <c r="T208" i="15"/>
  <c r="P208" i="15"/>
  <c r="X208" i="15" s="1"/>
  <c r="Z208" i="15" s="1"/>
  <c r="L208" i="15"/>
  <c r="H208" i="15"/>
  <c r="N208" i="15" s="1"/>
  <c r="D208" i="15"/>
  <c r="B208" i="15"/>
  <c r="X207" i="15"/>
  <c r="Z207" i="15" s="1"/>
  <c r="N207" i="15"/>
  <c r="L207" i="15"/>
  <c r="J207" i="15"/>
  <c r="B207" i="15"/>
  <c r="Z206" i="15"/>
  <c r="T206" i="15"/>
  <c r="X206" i="15" s="1"/>
  <c r="P206" i="15"/>
  <c r="H206" i="15"/>
  <c r="D206" i="15"/>
  <c r="B206" i="15"/>
  <c r="X205" i="15"/>
  <c r="Z205" i="15" s="1"/>
  <c r="L205" i="15"/>
  <c r="N205" i="15" s="1"/>
  <c r="B205" i="15"/>
  <c r="Z204" i="15"/>
  <c r="X204" i="15"/>
  <c r="L204" i="15"/>
  <c r="N204" i="15" s="1"/>
  <c r="J204" i="15"/>
  <c r="B204" i="15"/>
  <c r="T203" i="15"/>
  <c r="P203" i="15"/>
  <c r="H203" i="15"/>
  <c r="D203" i="15"/>
  <c r="L203" i="15" s="1"/>
  <c r="B203" i="15"/>
  <c r="X202" i="15"/>
  <c r="Z202" i="15" s="1"/>
  <c r="V202" i="15"/>
  <c r="N202" i="15"/>
  <c r="L202" i="15"/>
  <c r="B202" i="15"/>
  <c r="X201" i="15"/>
  <c r="Z201" i="15" s="1"/>
  <c r="L201" i="15"/>
  <c r="N201" i="15" s="1"/>
  <c r="B201" i="15"/>
  <c r="Z200" i="15"/>
  <c r="X200" i="15"/>
  <c r="L200" i="15"/>
  <c r="N200" i="15" s="1"/>
  <c r="B200" i="15"/>
  <c r="X199" i="15"/>
  <c r="Z199" i="15" s="1"/>
  <c r="N199" i="15"/>
  <c r="L199" i="15"/>
  <c r="B199" i="15"/>
  <c r="X198" i="15"/>
  <c r="Z198" i="15" s="1"/>
  <c r="N198" i="15"/>
  <c r="L198" i="15"/>
  <c r="B198" i="15"/>
  <c r="X197" i="15"/>
  <c r="Z197" i="15" s="1"/>
  <c r="L197" i="15"/>
  <c r="N197" i="15" s="1"/>
  <c r="B197" i="15"/>
  <c r="X196" i="15"/>
  <c r="Z196" i="15" s="1"/>
  <c r="L196" i="15"/>
  <c r="N196" i="15" s="1"/>
  <c r="B196" i="15"/>
  <c r="X195" i="15"/>
  <c r="Z195" i="15" s="1"/>
  <c r="L195" i="15"/>
  <c r="N195" i="15" s="1"/>
  <c r="B195" i="15"/>
  <c r="X194" i="15"/>
  <c r="Z194" i="15" s="1"/>
  <c r="N194" i="15"/>
  <c r="L194" i="15"/>
  <c r="B194" i="15"/>
  <c r="X193" i="15"/>
  <c r="V193" i="15"/>
  <c r="T193" i="15"/>
  <c r="Z193" i="15" s="1"/>
  <c r="P193" i="15"/>
  <c r="H193" i="15"/>
  <c r="D193" i="15"/>
  <c r="L193" i="15" s="1"/>
  <c r="B193" i="15"/>
  <c r="Z192" i="15"/>
  <c r="X192" i="15"/>
  <c r="N192" i="15"/>
  <c r="L192" i="15"/>
  <c r="B192" i="15"/>
  <c r="X191" i="15"/>
  <c r="Z191" i="15" s="1"/>
  <c r="N191" i="15"/>
  <c r="L191" i="15"/>
  <c r="B191" i="15"/>
  <c r="Z190" i="15"/>
  <c r="V190" i="15"/>
  <c r="T190" i="15"/>
  <c r="X190" i="15" s="1"/>
  <c r="P190" i="15"/>
  <c r="H190" i="15"/>
  <c r="L190" i="15" s="1"/>
  <c r="N190" i="15" s="1"/>
  <c r="D190" i="15"/>
  <c r="B190" i="15"/>
  <c r="X189" i="15"/>
  <c r="Z189" i="15" s="1"/>
  <c r="V189" i="15"/>
  <c r="L189" i="15"/>
  <c r="N189" i="15" s="1"/>
  <c r="B189" i="15"/>
  <c r="Z188" i="15"/>
  <c r="X188" i="15"/>
  <c r="N188" i="15"/>
  <c r="L188" i="15"/>
  <c r="B188" i="15"/>
  <c r="Z187" i="15"/>
  <c r="X187" i="15"/>
  <c r="N187" i="15"/>
  <c r="L187" i="15"/>
  <c r="B187" i="15"/>
  <c r="Z186" i="15"/>
  <c r="X186" i="15"/>
  <c r="L186" i="15"/>
  <c r="N186" i="15" s="1"/>
  <c r="J186" i="15"/>
  <c r="B186" i="15"/>
  <c r="T185" i="15"/>
  <c r="P185" i="15"/>
  <c r="H185" i="15"/>
  <c r="N185" i="15" s="1"/>
  <c r="D185" i="15"/>
  <c r="L185" i="15" s="1"/>
  <c r="B185" i="15"/>
  <c r="X184" i="15"/>
  <c r="Z184" i="15" s="1"/>
  <c r="L184" i="15"/>
  <c r="N184" i="15" s="1"/>
  <c r="B184" i="15"/>
  <c r="X183" i="15"/>
  <c r="Z183" i="15" s="1"/>
  <c r="L183" i="15"/>
  <c r="N183" i="15" s="1"/>
  <c r="B183" i="15"/>
  <c r="X182" i="15"/>
  <c r="Z182" i="15" s="1"/>
  <c r="N182" i="15"/>
  <c r="L182" i="15"/>
  <c r="B182" i="15"/>
  <c r="X181" i="15"/>
  <c r="Z181" i="15" s="1"/>
  <c r="N181" i="15"/>
  <c r="L181" i="15"/>
  <c r="B181" i="15"/>
  <c r="T180" i="15"/>
  <c r="P180" i="15"/>
  <c r="X180" i="15" s="1"/>
  <c r="Z180" i="15" s="1"/>
  <c r="H180" i="15"/>
  <c r="D180" i="15"/>
  <c r="L180" i="15" s="1"/>
  <c r="B180" i="15"/>
  <c r="Z179" i="15"/>
  <c r="X179" i="15"/>
  <c r="N179" i="15"/>
  <c r="L179" i="15"/>
  <c r="B179" i="15"/>
  <c r="Z178" i="15"/>
  <c r="X178" i="15"/>
  <c r="V178" i="15"/>
  <c r="N178" i="15"/>
  <c r="L178" i="15"/>
  <c r="B178" i="15"/>
  <c r="Z177" i="15"/>
  <c r="X177" i="15"/>
  <c r="N177" i="15"/>
  <c r="L177" i="15"/>
  <c r="J177" i="15"/>
  <c r="B177" i="15"/>
  <c r="X176" i="15"/>
  <c r="Z176" i="15" s="1"/>
  <c r="N176" i="15"/>
  <c r="L176" i="15"/>
  <c r="B176" i="15"/>
  <c r="T175" i="15"/>
  <c r="P175" i="15"/>
  <c r="H175" i="15"/>
  <c r="D175" i="15"/>
  <c r="L175" i="15" s="1"/>
  <c r="N175" i="15" s="1"/>
  <c r="B175" i="15"/>
  <c r="Z174" i="15"/>
  <c r="X174" i="15"/>
  <c r="V174" i="15"/>
  <c r="L174" i="15"/>
  <c r="N174" i="15" s="1"/>
  <c r="B174" i="15"/>
  <c r="T173" i="15"/>
  <c r="P173" i="15"/>
  <c r="X173" i="15" s="1"/>
  <c r="H173" i="15"/>
  <c r="D173" i="15"/>
  <c r="B173" i="15"/>
  <c r="X172" i="15"/>
  <c r="Z172" i="15" s="1"/>
  <c r="N172" i="15"/>
  <c r="L172" i="15"/>
  <c r="B172" i="15"/>
  <c r="X171" i="15"/>
  <c r="V171" i="15"/>
  <c r="T171" i="15"/>
  <c r="P171" i="15"/>
  <c r="L171" i="15"/>
  <c r="H171" i="15"/>
  <c r="N171" i="15" s="1"/>
  <c r="D171" i="15"/>
  <c r="B171" i="15"/>
  <c r="X170" i="15"/>
  <c r="Z170" i="15" s="1"/>
  <c r="V170" i="15"/>
  <c r="N170" i="15"/>
  <c r="L170" i="15"/>
  <c r="B170" i="15"/>
  <c r="T169" i="15"/>
  <c r="P169" i="15"/>
  <c r="X169" i="15" s="1"/>
  <c r="Z169" i="15" s="1"/>
  <c r="H169" i="15"/>
  <c r="L169" i="15" s="1"/>
  <c r="N169" i="15" s="1"/>
  <c r="D169" i="15"/>
  <c r="B169" i="15"/>
  <c r="Z168" i="15"/>
  <c r="X168" i="15"/>
  <c r="N168" i="15"/>
  <c r="L168" i="15"/>
  <c r="B168" i="15"/>
  <c r="T167" i="15"/>
  <c r="P167" i="15"/>
  <c r="X167" i="15" s="1"/>
  <c r="Z167" i="15" s="1"/>
  <c r="H167" i="15"/>
  <c r="D167" i="15"/>
  <c r="L167" i="15" s="1"/>
  <c r="B167" i="15"/>
  <c r="X166" i="15"/>
  <c r="Z166" i="15" s="1"/>
  <c r="L166" i="15"/>
  <c r="N166" i="15" s="1"/>
  <c r="J166" i="15"/>
  <c r="B166" i="15"/>
  <c r="X165" i="15"/>
  <c r="Z165" i="15" s="1"/>
  <c r="V165" i="15"/>
  <c r="N165" i="15"/>
  <c r="L165" i="15"/>
  <c r="B165" i="15"/>
  <c r="X164" i="15"/>
  <c r="Z164" i="15" s="1"/>
  <c r="V164" i="15"/>
  <c r="L164" i="15"/>
  <c r="N164" i="15" s="1"/>
  <c r="B164" i="15"/>
  <c r="Z163" i="15"/>
  <c r="X163" i="15"/>
  <c r="T163" i="15"/>
  <c r="P163" i="15"/>
  <c r="J163" i="15"/>
  <c r="H163" i="15"/>
  <c r="D163" i="15"/>
  <c r="L163" i="15" s="1"/>
  <c r="B163" i="15"/>
  <c r="Z162" i="15"/>
  <c r="X162" i="15"/>
  <c r="N162" i="15"/>
  <c r="L162" i="15"/>
  <c r="B162" i="15"/>
  <c r="Z161" i="15"/>
  <c r="X161" i="15"/>
  <c r="V161" i="15"/>
  <c r="N161" i="15"/>
  <c r="L161" i="15"/>
  <c r="B161" i="15"/>
  <c r="X160" i="15"/>
  <c r="T160" i="15"/>
  <c r="Z160" i="15" s="1"/>
  <c r="P160" i="15"/>
  <c r="N160" i="15"/>
  <c r="L160" i="15"/>
  <c r="H160" i="15"/>
  <c r="D160" i="15"/>
  <c r="B160" i="15"/>
  <c r="Z159" i="15"/>
  <c r="X159" i="15"/>
  <c r="L159" i="15"/>
  <c r="N159" i="15" s="1"/>
  <c r="J159" i="15"/>
  <c r="B159" i="15"/>
  <c r="T158" i="15"/>
  <c r="P158" i="15"/>
  <c r="X158" i="15" s="1"/>
  <c r="Z158" i="15" s="1"/>
  <c r="H158" i="15"/>
  <c r="D158" i="15"/>
  <c r="L158" i="15" s="1"/>
  <c r="N158" i="15" s="1"/>
  <c r="B158" i="15"/>
  <c r="X157" i="15"/>
  <c r="Z157" i="15" s="1"/>
  <c r="N157" i="15"/>
  <c r="L157" i="15"/>
  <c r="B157" i="15"/>
  <c r="Z156" i="15"/>
  <c r="X156" i="15"/>
  <c r="V156" i="15"/>
  <c r="T156" i="15"/>
  <c r="P156" i="15"/>
  <c r="H156" i="15"/>
  <c r="D156" i="15"/>
  <c r="L156" i="15" s="1"/>
  <c r="B156" i="15"/>
  <c r="Z155" i="15"/>
  <c r="X155" i="15"/>
  <c r="N155" i="15"/>
  <c r="L155" i="15"/>
  <c r="B155" i="15"/>
  <c r="Z154" i="15"/>
  <c r="X154" i="15"/>
  <c r="V154" i="15"/>
  <c r="N154" i="15"/>
  <c r="L154" i="15"/>
  <c r="J154" i="15"/>
  <c r="B154" i="15"/>
  <c r="T153" i="15"/>
  <c r="P153" i="15"/>
  <c r="X153" i="15" s="1"/>
  <c r="Z153" i="15" s="1"/>
  <c r="L153" i="15"/>
  <c r="N153" i="15" s="1"/>
  <c r="H153" i="15"/>
  <c r="D153" i="15"/>
  <c r="B153" i="15"/>
  <c r="Z152" i="15"/>
  <c r="X152" i="15"/>
  <c r="N152" i="15"/>
  <c r="L152" i="15"/>
  <c r="B152" i="15"/>
  <c r="Z151" i="15"/>
  <c r="X151" i="15"/>
  <c r="V151" i="15"/>
  <c r="L151" i="15"/>
  <c r="N151" i="15" s="1"/>
  <c r="B151" i="15"/>
  <c r="T150" i="15"/>
  <c r="P150" i="15"/>
  <c r="L150" i="15"/>
  <c r="N150" i="15" s="1"/>
  <c r="H150" i="15"/>
  <c r="D150" i="15"/>
  <c r="B150" i="15"/>
  <c r="X149" i="15"/>
  <c r="Z149" i="15" s="1"/>
  <c r="V149" i="15"/>
  <c r="L149" i="15"/>
  <c r="N149" i="15" s="1"/>
  <c r="B149" i="15"/>
  <c r="Z148" i="15"/>
  <c r="X148" i="15"/>
  <c r="N148" i="15"/>
  <c r="L148" i="15"/>
  <c r="B148" i="15"/>
  <c r="T147" i="15"/>
  <c r="P147" i="15"/>
  <c r="H147" i="15"/>
  <c r="D147" i="15"/>
  <c r="L147" i="15" s="1"/>
  <c r="B147" i="15"/>
  <c r="X146" i="15"/>
  <c r="Z146" i="15" s="1"/>
  <c r="N146" i="15"/>
  <c r="L146" i="15"/>
  <c r="B146" i="15"/>
  <c r="V145" i="15"/>
  <c r="T145" i="15"/>
  <c r="Z145" i="15" s="1"/>
  <c r="P145" i="15"/>
  <c r="X145" i="15" s="1"/>
  <c r="L145" i="15"/>
  <c r="N145" i="15" s="1"/>
  <c r="H145" i="15"/>
  <c r="D145" i="15"/>
  <c r="B145" i="15"/>
  <c r="X144" i="15"/>
  <c r="Z144" i="15" s="1"/>
  <c r="V144" i="15"/>
  <c r="N144" i="15"/>
  <c r="L144" i="15"/>
  <c r="J144" i="15"/>
  <c r="B144" i="15"/>
  <c r="Z143" i="15"/>
  <c r="X143" i="15"/>
  <c r="L143" i="15"/>
  <c r="N143" i="15" s="1"/>
  <c r="J143" i="15"/>
  <c r="B143" i="15"/>
  <c r="T142" i="15"/>
  <c r="P142" i="15"/>
  <c r="H142" i="15"/>
  <c r="D142" i="15"/>
  <c r="L142" i="15" s="1"/>
  <c r="B142" i="15"/>
  <c r="X141" i="15"/>
  <c r="Z141" i="15" s="1"/>
  <c r="N141" i="15"/>
  <c r="L141" i="15"/>
  <c r="B141" i="15"/>
  <c r="T140" i="15"/>
  <c r="P140" i="15"/>
  <c r="X140" i="15" s="1"/>
  <c r="Z140" i="15" s="1"/>
  <c r="H140" i="15"/>
  <c r="D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V137" i="15"/>
  <c r="N137" i="15"/>
  <c r="L137" i="15"/>
  <c r="B137" i="15"/>
  <c r="X136" i="15"/>
  <c r="Z136" i="15" s="1"/>
  <c r="N136" i="15"/>
  <c r="L136" i="15"/>
  <c r="J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V133" i="15"/>
  <c r="N133" i="15"/>
  <c r="L133" i="15"/>
  <c r="B133" i="15"/>
  <c r="Z132" i="15"/>
  <c r="X132" i="15"/>
  <c r="N132" i="15"/>
  <c r="L132" i="15"/>
  <c r="J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V129" i="15"/>
  <c r="T129" i="15"/>
  <c r="P129" i="15"/>
  <c r="L129" i="15"/>
  <c r="H129" i="15"/>
  <c r="N129" i="15" s="1"/>
  <c r="D129" i="15"/>
  <c r="B129" i="15"/>
  <c r="X128" i="15"/>
  <c r="Z128" i="15" s="1"/>
  <c r="V128" i="15"/>
  <c r="N128" i="15"/>
  <c r="L128" i="15"/>
  <c r="B128" i="15"/>
  <c r="Z127" i="15"/>
  <c r="X127" i="15"/>
  <c r="L127" i="15"/>
  <c r="N127" i="15" s="1"/>
  <c r="B127" i="15"/>
  <c r="Z126" i="15"/>
  <c r="X126" i="15"/>
  <c r="L126" i="15"/>
  <c r="N126" i="15" s="1"/>
  <c r="B126" i="15"/>
  <c r="Z125" i="15"/>
  <c r="X125" i="15"/>
  <c r="N125" i="15"/>
  <c r="L125" i="15"/>
  <c r="J125" i="15"/>
  <c r="B125" i="15"/>
  <c r="Z124" i="15"/>
  <c r="X124" i="15"/>
  <c r="V124" i="15"/>
  <c r="N124" i="15"/>
  <c r="L124" i="15"/>
  <c r="B124" i="15"/>
  <c r="Z123" i="15"/>
  <c r="X123" i="15"/>
  <c r="N123" i="15"/>
  <c r="L123" i="15"/>
  <c r="B123" i="15"/>
  <c r="Z122" i="15"/>
  <c r="X122" i="15"/>
  <c r="L122" i="15"/>
  <c r="N122" i="15" s="1"/>
  <c r="B122" i="15"/>
  <c r="Z121" i="15"/>
  <c r="X121" i="15"/>
  <c r="L121" i="15"/>
  <c r="N121" i="15" s="1"/>
  <c r="J121" i="15"/>
  <c r="B121" i="15"/>
  <c r="X120" i="15"/>
  <c r="Z120" i="15" s="1"/>
  <c r="V120" i="15"/>
  <c r="L120" i="15"/>
  <c r="N120" i="15" s="1"/>
  <c r="B120" i="15"/>
  <c r="Z119" i="15"/>
  <c r="X119" i="15"/>
  <c r="L119" i="15"/>
  <c r="N119" i="15" s="1"/>
  <c r="B119" i="15"/>
  <c r="T118" i="15"/>
  <c r="P118" i="15"/>
  <c r="X118" i="15" s="1"/>
  <c r="L118" i="15"/>
  <c r="J118" i="15"/>
  <c r="H118" i="15"/>
  <c r="D118" i="15"/>
  <c r="B118" i="15"/>
  <c r="V117" i="15"/>
  <c r="T117" i="15"/>
  <c r="P117" i="15"/>
  <c r="X117" i="15" s="1"/>
  <c r="N117" i="15"/>
  <c r="L117" i="15"/>
  <c r="H117" i="15"/>
  <c r="D117" i="15"/>
  <c r="Z113" i="15"/>
  <c r="X113" i="15"/>
  <c r="V113" i="15"/>
  <c r="N113" i="15"/>
  <c r="L113" i="15"/>
  <c r="J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V109" i="15"/>
  <c r="N109" i="15"/>
  <c r="L109" i="15"/>
  <c r="J109" i="15"/>
  <c r="B109" i="15"/>
  <c r="Z108" i="15"/>
  <c r="X108" i="15"/>
  <c r="V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V105" i="15"/>
  <c r="N105" i="15"/>
  <c r="L105" i="15"/>
  <c r="J105" i="15"/>
  <c r="B105" i="15"/>
  <c r="Z104" i="15"/>
  <c r="X104" i="15"/>
  <c r="V104" i="15"/>
  <c r="N104" i="15"/>
  <c r="L104" i="15"/>
  <c r="B104" i="15"/>
  <c r="Z103" i="15"/>
  <c r="X103" i="15"/>
  <c r="V103" i="15"/>
  <c r="N103" i="15"/>
  <c r="L103" i="15"/>
  <c r="B103" i="15"/>
  <c r="Z102" i="15"/>
  <c r="X102" i="15"/>
  <c r="N102" i="15"/>
  <c r="L102" i="15"/>
  <c r="B102" i="15"/>
  <c r="Z101" i="15"/>
  <c r="X101" i="15"/>
  <c r="V101" i="15"/>
  <c r="N101" i="15"/>
  <c r="L101" i="15"/>
  <c r="J101" i="15"/>
  <c r="B101" i="15"/>
  <c r="Z100" i="15"/>
  <c r="X100" i="15"/>
  <c r="V100" i="15"/>
  <c r="N100" i="15"/>
  <c r="L100" i="15"/>
  <c r="B100" i="15"/>
  <c r="Z99" i="15"/>
  <c r="X99" i="15"/>
  <c r="V99" i="15"/>
  <c r="N99" i="15"/>
  <c r="L99" i="15"/>
  <c r="B99" i="15"/>
  <c r="Z98" i="15"/>
  <c r="X98" i="15"/>
  <c r="N98" i="15"/>
  <c r="L98" i="15"/>
  <c r="B98" i="15"/>
  <c r="Z97" i="15"/>
  <c r="X97" i="15"/>
  <c r="V97" i="15"/>
  <c r="N97" i="15"/>
  <c r="L97" i="15"/>
  <c r="J97" i="15"/>
  <c r="B97" i="15"/>
  <c r="Z96" i="15"/>
  <c r="X96" i="15"/>
  <c r="V96" i="15"/>
  <c r="N96" i="15"/>
  <c r="L96" i="15"/>
  <c r="B96" i="15"/>
  <c r="Z95" i="15"/>
  <c r="X95" i="15"/>
  <c r="V95" i="15"/>
  <c r="N95" i="15"/>
  <c r="L95" i="15"/>
  <c r="B95" i="15"/>
  <c r="Z94" i="15"/>
  <c r="X94" i="15"/>
  <c r="N94" i="15"/>
  <c r="L94" i="15"/>
  <c r="B94" i="15"/>
  <c r="Z93" i="15"/>
  <c r="X93" i="15"/>
  <c r="V93" i="15"/>
  <c r="N93" i="15"/>
  <c r="L93" i="15"/>
  <c r="J93" i="15"/>
  <c r="B93" i="15"/>
  <c r="Z92" i="15"/>
  <c r="X92" i="15"/>
  <c r="V92" i="15"/>
  <c r="N92" i="15"/>
  <c r="L92" i="15"/>
  <c r="B92" i="15"/>
  <c r="Z91" i="15"/>
  <c r="X91" i="15"/>
  <c r="V91" i="15"/>
  <c r="N91" i="15"/>
  <c r="L91" i="15"/>
  <c r="B91" i="15"/>
  <c r="Z90" i="15"/>
  <c r="X90" i="15"/>
  <c r="N90" i="15"/>
  <c r="L90" i="15"/>
  <c r="B90" i="15"/>
  <c r="Z89" i="15"/>
  <c r="X89" i="15"/>
  <c r="V89" i="15"/>
  <c r="N89" i="15"/>
  <c r="L89" i="15"/>
  <c r="J89" i="15"/>
  <c r="B89" i="15"/>
  <c r="Z88" i="15"/>
  <c r="X88" i="15"/>
  <c r="V88" i="15"/>
  <c r="N88" i="15"/>
  <c r="L88" i="15"/>
  <c r="B88" i="15"/>
  <c r="Z87" i="15"/>
  <c r="X87" i="15"/>
  <c r="V87" i="15"/>
  <c r="N87" i="15"/>
  <c r="L87" i="15"/>
  <c r="B87" i="15"/>
  <c r="Z86" i="15"/>
  <c r="X86" i="15"/>
  <c r="N86" i="15"/>
  <c r="L86" i="15"/>
  <c r="B86" i="15"/>
  <c r="Z85" i="15"/>
  <c r="X85" i="15"/>
  <c r="V85" i="15"/>
  <c r="N85" i="15"/>
  <c r="L85" i="15"/>
  <c r="J85" i="15"/>
  <c r="B85" i="15"/>
  <c r="Z84" i="15"/>
  <c r="X84" i="15"/>
  <c r="V84" i="15"/>
  <c r="N84" i="15"/>
  <c r="L84" i="15"/>
  <c r="B84" i="15"/>
  <c r="Z83" i="15"/>
  <c r="X83" i="15"/>
  <c r="V83" i="15"/>
  <c r="N83" i="15"/>
  <c r="L83" i="15"/>
  <c r="B83" i="15"/>
  <c r="Z82" i="15"/>
  <c r="X82" i="15"/>
  <c r="V82" i="15"/>
  <c r="N82" i="15"/>
  <c r="L82" i="15"/>
  <c r="B82" i="15"/>
  <c r="Z81" i="15"/>
  <c r="X81" i="15"/>
  <c r="V81" i="15"/>
  <c r="N81" i="15"/>
  <c r="L81" i="15"/>
  <c r="J81" i="15"/>
  <c r="B81" i="15"/>
  <c r="Z80" i="15"/>
  <c r="X80" i="15"/>
  <c r="V80" i="15"/>
  <c r="N80" i="15"/>
  <c r="L80" i="15"/>
  <c r="B80" i="15"/>
  <c r="X79" i="15"/>
  <c r="Z79" i="15" s="1"/>
  <c r="V79" i="15"/>
  <c r="L79" i="15"/>
  <c r="N79" i="15" s="1"/>
  <c r="B79" i="15"/>
  <c r="T78" i="15"/>
  <c r="P78" i="15"/>
  <c r="J78" i="15"/>
  <c r="H78" i="15"/>
  <c r="D78" i="15"/>
  <c r="L78" i="15" s="1"/>
  <c r="N78" i="15" s="1"/>
  <c r="Z76" i="15"/>
  <c r="P76" i="15"/>
  <c r="X76" i="15" s="1"/>
  <c r="N76" i="15"/>
  <c r="L76" i="15"/>
  <c r="D76" i="15"/>
  <c r="B76" i="15"/>
  <c r="Z75" i="15"/>
  <c r="X75" i="15"/>
  <c r="P75" i="15"/>
  <c r="N75" i="15"/>
  <c r="L75" i="15"/>
  <c r="D75" i="15"/>
  <c r="B75" i="15"/>
  <c r="Z74" i="15"/>
  <c r="P74" i="15"/>
  <c r="X74" i="15" s="1"/>
  <c r="N74" i="15"/>
  <c r="L74" i="15"/>
  <c r="D74" i="15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P71" i="15"/>
  <c r="X71" i="15" s="1"/>
  <c r="N71" i="15"/>
  <c r="D71" i="15"/>
  <c r="L71" i="15" s="1"/>
  <c r="B71" i="15"/>
  <c r="Z70" i="15"/>
  <c r="P70" i="15"/>
  <c r="X70" i="15" s="1"/>
  <c r="N70" i="15"/>
  <c r="D70" i="15"/>
  <c r="L70" i="15" s="1"/>
  <c r="B70" i="15"/>
  <c r="Z69" i="15"/>
  <c r="P69" i="15"/>
  <c r="X69" i="15" s="1"/>
  <c r="N69" i="15"/>
  <c r="L69" i="15"/>
  <c r="D69" i="15"/>
  <c r="B69" i="15"/>
  <c r="Z68" i="15"/>
  <c r="P68" i="15"/>
  <c r="X68" i="15" s="1"/>
  <c r="N68" i="15"/>
  <c r="D68" i="15"/>
  <c r="L68" i="15" s="1"/>
  <c r="B68" i="15"/>
  <c r="Z67" i="15"/>
  <c r="X67" i="15"/>
  <c r="P67" i="15"/>
  <c r="N67" i="15"/>
  <c r="D67" i="15"/>
  <c r="L67" i="15" s="1"/>
  <c r="B67" i="15"/>
  <c r="Z66" i="15"/>
  <c r="X66" i="15"/>
  <c r="P66" i="15"/>
  <c r="N66" i="15"/>
  <c r="D66" i="15"/>
  <c r="L66" i="15" s="1"/>
  <c r="B66" i="15"/>
  <c r="Z65" i="15"/>
  <c r="X65" i="15"/>
  <c r="P65" i="15"/>
  <c r="N65" i="15"/>
  <c r="D65" i="15"/>
  <c r="L65" i="15" s="1"/>
  <c r="B65" i="15"/>
  <c r="Z64" i="15"/>
  <c r="P64" i="15"/>
  <c r="X64" i="15" s="1"/>
  <c r="N64" i="15"/>
  <c r="L64" i="15"/>
  <c r="D64" i="15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D59" i="15"/>
  <c r="L59" i="15" s="1"/>
  <c r="B59" i="15"/>
  <c r="Z58" i="15"/>
  <c r="P58" i="15"/>
  <c r="X58" i="15" s="1"/>
  <c r="N58" i="15"/>
  <c r="D58" i="15"/>
  <c r="L58" i="15" s="1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X55" i="15"/>
  <c r="P55" i="15"/>
  <c r="N55" i="15"/>
  <c r="D55" i="15"/>
  <c r="L55" i="15" s="1"/>
  <c r="B55" i="15"/>
  <c r="Z54" i="15"/>
  <c r="X54" i="15"/>
  <c r="P54" i="15"/>
  <c r="N54" i="15"/>
  <c r="D54" i="15"/>
  <c r="L54" i="15" s="1"/>
  <c r="B54" i="15"/>
  <c r="Z53" i="15"/>
  <c r="X53" i="15"/>
  <c r="P53" i="15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X51" i="15"/>
  <c r="P51" i="15"/>
  <c r="N51" i="15"/>
  <c r="L51" i="15"/>
  <c r="D51" i="15"/>
  <c r="B51" i="15"/>
  <c r="Z50" i="15"/>
  <c r="X50" i="15"/>
  <c r="P50" i="15"/>
  <c r="N50" i="15"/>
  <c r="L50" i="15"/>
  <c r="D50" i="15"/>
  <c r="B50" i="15"/>
  <c r="Z49" i="15"/>
  <c r="P49" i="15"/>
  <c r="X49" i="15" s="1"/>
  <c r="N49" i="15"/>
  <c r="D49" i="15"/>
  <c r="L49" i="15" s="1"/>
  <c r="B49" i="15"/>
  <c r="Z48" i="15"/>
  <c r="X48" i="15"/>
  <c r="P48" i="15"/>
  <c r="N48" i="15"/>
  <c r="L48" i="15"/>
  <c r="D48" i="15"/>
  <c r="B48" i="15"/>
  <c r="Z47" i="15"/>
  <c r="P47" i="15"/>
  <c r="X47" i="15" s="1"/>
  <c r="N47" i="15"/>
  <c r="D47" i="15"/>
  <c r="L47" i="15" s="1"/>
  <c r="B47" i="15"/>
  <c r="Z46" i="15"/>
  <c r="P46" i="15"/>
  <c r="X46" i="15" s="1"/>
  <c r="N46" i="15"/>
  <c r="D46" i="15"/>
  <c r="L46" i="15" s="1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X43" i="15"/>
  <c r="P43" i="15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X41" i="15"/>
  <c r="P41" i="15"/>
  <c r="N41" i="15"/>
  <c r="D41" i="15"/>
  <c r="L41" i="15" s="1"/>
  <c r="B41" i="15"/>
  <c r="Z40" i="15"/>
  <c r="P40" i="15"/>
  <c r="X40" i="15" s="1"/>
  <c r="N40" i="15"/>
  <c r="L40" i="15"/>
  <c r="D40" i="15"/>
  <c r="B40" i="15"/>
  <c r="Z39" i="15"/>
  <c r="X39" i="15"/>
  <c r="P39" i="15"/>
  <c r="N39" i="15"/>
  <c r="L39" i="15"/>
  <c r="D39" i="15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P35" i="15"/>
  <c r="X35" i="15" s="1"/>
  <c r="Z35" i="15" s="1"/>
  <c r="D35" i="15"/>
  <c r="L35" i="15" s="1"/>
  <c r="N35" i="15" s="1"/>
  <c r="B35" i="15"/>
  <c r="Z34" i="15"/>
  <c r="P34" i="15"/>
  <c r="X34" i="15" s="1"/>
  <c r="N34" i="15"/>
  <c r="D34" i="15"/>
  <c r="L34" i="15" s="1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X31" i="15"/>
  <c r="P31" i="15"/>
  <c r="N31" i="15"/>
  <c r="D31" i="15"/>
  <c r="L31" i="15" s="1"/>
  <c r="B31" i="15"/>
  <c r="Z30" i="15"/>
  <c r="X30" i="15"/>
  <c r="P30" i="15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P28" i="15"/>
  <c r="X28" i="15" s="1"/>
  <c r="N28" i="15"/>
  <c r="L28" i="15"/>
  <c r="D28" i="15"/>
  <c r="B28" i="15"/>
  <c r="Z27" i="15"/>
  <c r="X27" i="15"/>
  <c r="P27" i="15"/>
  <c r="N27" i="15"/>
  <c r="L27" i="15"/>
  <c r="D27" i="15"/>
  <c r="B27" i="15"/>
  <c r="Z26" i="15"/>
  <c r="X26" i="15"/>
  <c r="P26" i="15"/>
  <c r="N26" i="15"/>
  <c r="L26" i="15"/>
  <c r="D26" i="15"/>
  <c r="B26" i="15"/>
  <c r="Z25" i="15"/>
  <c r="P25" i="15"/>
  <c r="X25" i="15" s="1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X23" i="15"/>
  <c r="P23" i="15"/>
  <c r="N23" i="15"/>
  <c r="D23" i="15"/>
  <c r="L23" i="15" s="1"/>
  <c r="B23" i="15"/>
  <c r="Z22" i="15"/>
  <c r="P22" i="15"/>
  <c r="X22" i="15" s="1"/>
  <c r="N22" i="15"/>
  <c r="D22" i="15"/>
  <c r="L22" i="15" s="1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X19" i="15"/>
  <c r="P19" i="15"/>
  <c r="N19" i="15"/>
  <c r="D19" i="15"/>
  <c r="L19" i="15" s="1"/>
  <c r="B19" i="15"/>
  <c r="Z18" i="15"/>
  <c r="X18" i="15"/>
  <c r="P18" i="15"/>
  <c r="N18" i="15"/>
  <c r="D18" i="15"/>
  <c r="B18" i="15"/>
  <c r="Z17" i="15"/>
  <c r="X17" i="15"/>
  <c r="P17" i="15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L15" i="15"/>
  <c r="D15" i="15"/>
  <c r="B15" i="15"/>
  <c r="Z14" i="15"/>
  <c r="P14" i="15"/>
  <c r="X14" i="15" s="1"/>
  <c r="N14" i="15"/>
  <c r="L14" i="15"/>
  <c r="D14" i="15"/>
  <c r="B14" i="15"/>
  <c r="P13" i="15"/>
  <c r="D13" i="15"/>
  <c r="L13" i="15" s="1"/>
  <c r="N13" i="15" s="1"/>
  <c r="B13" i="15"/>
  <c r="T12" i="15"/>
  <c r="V203" i="15" s="1"/>
  <c r="H12" i="15"/>
  <c r="J203" i="15" s="1"/>
  <c r="D4" i="15"/>
  <c r="X230" i="12"/>
  <c r="Z230" i="12" s="1"/>
  <c r="L230" i="12"/>
  <c r="N230" i="12" s="1"/>
  <c r="Z226" i="12"/>
  <c r="P226" i="12"/>
  <c r="N226" i="12"/>
  <c r="D226" i="12"/>
  <c r="L226" i="12" s="1"/>
  <c r="B226" i="12"/>
  <c r="Z225" i="12"/>
  <c r="X225" i="12"/>
  <c r="P225" i="12"/>
  <c r="N225" i="12"/>
  <c r="L225" i="12"/>
  <c r="D225" i="12"/>
  <c r="B225" i="12"/>
  <c r="P224" i="12"/>
  <c r="X224" i="12" s="1"/>
  <c r="Z224" i="12" s="1"/>
  <c r="L224" i="12"/>
  <c r="N224" i="12" s="1"/>
  <c r="D224" i="12"/>
  <c r="B224" i="12"/>
  <c r="P223" i="12"/>
  <c r="X223" i="12" s="1"/>
  <c r="Z223" i="12" s="1"/>
  <c r="F223" i="12"/>
  <c r="D223" i="12"/>
  <c r="D222" i="12" s="1"/>
  <c r="L222" i="12" s="1"/>
  <c r="B223" i="12"/>
  <c r="T222" i="12"/>
  <c r="H222" i="12"/>
  <c r="X220" i="12"/>
  <c r="Z220" i="12" s="1"/>
  <c r="N220" i="12"/>
  <c r="L220" i="12"/>
  <c r="B220" i="12"/>
  <c r="Z219" i="12"/>
  <c r="X219" i="12"/>
  <c r="T219" i="12"/>
  <c r="P219" i="12"/>
  <c r="H219" i="12"/>
  <c r="N219" i="12" s="1"/>
  <c r="D219" i="12"/>
  <c r="L219" i="12" s="1"/>
  <c r="B219" i="12"/>
  <c r="Z218" i="12"/>
  <c r="X218" i="12"/>
  <c r="L218" i="12"/>
  <c r="N218" i="12" s="1"/>
  <c r="B218" i="12"/>
  <c r="X217" i="12"/>
  <c r="Z217" i="12" s="1"/>
  <c r="L217" i="12"/>
  <c r="N217" i="12" s="1"/>
  <c r="B217" i="12"/>
  <c r="Z216" i="12"/>
  <c r="X216" i="12"/>
  <c r="N216" i="12"/>
  <c r="L216" i="12"/>
  <c r="B216" i="12"/>
  <c r="T215" i="12"/>
  <c r="P215" i="12"/>
  <c r="X215" i="12" s="1"/>
  <c r="L215" i="12"/>
  <c r="H215" i="12"/>
  <c r="D215" i="12"/>
  <c r="B215" i="12"/>
  <c r="X214" i="12"/>
  <c r="Z214" i="12" s="1"/>
  <c r="L214" i="12"/>
  <c r="N214" i="12" s="1"/>
  <c r="B214" i="12"/>
  <c r="T213" i="12"/>
  <c r="P213" i="12"/>
  <c r="X213" i="12" s="1"/>
  <c r="H213" i="12"/>
  <c r="D213" i="12"/>
  <c r="B213" i="12"/>
  <c r="X212" i="12"/>
  <c r="Z212" i="12" s="1"/>
  <c r="N212" i="12"/>
  <c r="L212" i="12"/>
  <c r="B212" i="12"/>
  <c r="Z211" i="12"/>
  <c r="X211" i="12"/>
  <c r="N211" i="12"/>
  <c r="L211" i="12"/>
  <c r="B211" i="12"/>
  <c r="T210" i="12"/>
  <c r="P210" i="12"/>
  <c r="L210" i="12"/>
  <c r="H210" i="12"/>
  <c r="N210" i="12" s="1"/>
  <c r="D210" i="12"/>
  <c r="B210" i="12"/>
  <c r="X209" i="12"/>
  <c r="Z209" i="12" s="1"/>
  <c r="L209" i="12"/>
  <c r="N209" i="12" s="1"/>
  <c r="B209" i="12"/>
  <c r="Z208" i="12"/>
  <c r="X208" i="12"/>
  <c r="N208" i="12"/>
  <c r="L208" i="12"/>
  <c r="B208" i="12"/>
  <c r="Z207" i="12"/>
  <c r="X207" i="12"/>
  <c r="N207" i="12"/>
  <c r="L207" i="12"/>
  <c r="B207" i="12"/>
  <c r="Z206" i="12"/>
  <c r="X206" i="12"/>
  <c r="N206" i="12"/>
  <c r="L206" i="12"/>
  <c r="B206" i="12"/>
  <c r="X205" i="12"/>
  <c r="Z205" i="12" s="1"/>
  <c r="V205" i="12"/>
  <c r="L205" i="12"/>
  <c r="N205" i="12" s="1"/>
  <c r="B205" i="12"/>
  <c r="Z204" i="12"/>
  <c r="X204" i="12"/>
  <c r="L204" i="12"/>
  <c r="N204" i="12" s="1"/>
  <c r="B204" i="12"/>
  <c r="Z203" i="12"/>
  <c r="X203" i="12"/>
  <c r="L203" i="12"/>
  <c r="N203" i="12" s="1"/>
  <c r="F203" i="12"/>
  <c r="B203" i="12"/>
  <c r="Z202" i="12"/>
  <c r="X202" i="12"/>
  <c r="L202" i="12"/>
  <c r="N202" i="12" s="1"/>
  <c r="B202" i="12"/>
  <c r="X201" i="12"/>
  <c r="Z201" i="12" s="1"/>
  <c r="L201" i="12"/>
  <c r="N201" i="12" s="1"/>
  <c r="B201" i="12"/>
  <c r="T200" i="12"/>
  <c r="P200" i="12"/>
  <c r="X200" i="12" s="1"/>
  <c r="Z200" i="12" s="1"/>
  <c r="H200" i="12"/>
  <c r="N200" i="12" s="1"/>
  <c r="D200" i="12"/>
  <c r="L200" i="12" s="1"/>
  <c r="B200" i="12"/>
  <c r="X199" i="12"/>
  <c r="Z199" i="12" s="1"/>
  <c r="N199" i="12"/>
  <c r="L199" i="12"/>
  <c r="B199" i="12"/>
  <c r="X198" i="12"/>
  <c r="Z198" i="12" s="1"/>
  <c r="N198" i="12"/>
  <c r="L198" i="12"/>
  <c r="J198" i="12"/>
  <c r="F198" i="12"/>
  <c r="B198" i="12"/>
  <c r="T197" i="12"/>
  <c r="P197" i="12"/>
  <c r="X197" i="12" s="1"/>
  <c r="H197" i="12"/>
  <c r="D197" i="12"/>
  <c r="B197" i="12"/>
  <c r="X196" i="12"/>
  <c r="Z196" i="12" s="1"/>
  <c r="N196" i="12"/>
  <c r="L196" i="12"/>
  <c r="B196" i="12"/>
  <c r="Z195" i="12"/>
  <c r="X195" i="12"/>
  <c r="N195" i="12"/>
  <c r="L195" i="12"/>
  <c r="B195" i="12"/>
  <c r="Z194" i="12"/>
  <c r="X194" i="12"/>
  <c r="N194" i="12"/>
  <c r="L194" i="12"/>
  <c r="B194" i="12"/>
  <c r="Z193" i="12"/>
  <c r="X193" i="12"/>
  <c r="N193" i="12"/>
  <c r="L193" i="12"/>
  <c r="B193" i="12"/>
  <c r="X192" i="12"/>
  <c r="Z192" i="12" s="1"/>
  <c r="N192" i="12"/>
  <c r="L192" i="12"/>
  <c r="B192" i="12"/>
  <c r="Z191" i="12"/>
  <c r="X191" i="12"/>
  <c r="T191" i="12"/>
  <c r="P191" i="12"/>
  <c r="H191" i="12"/>
  <c r="D191" i="12"/>
  <c r="L191" i="12" s="1"/>
  <c r="B191" i="12"/>
  <c r="Z190" i="12"/>
  <c r="X190" i="12"/>
  <c r="L190" i="12"/>
  <c r="N190" i="12" s="1"/>
  <c r="B190" i="12"/>
  <c r="X189" i="12"/>
  <c r="Z189" i="12" s="1"/>
  <c r="L189" i="12"/>
  <c r="N189" i="12" s="1"/>
  <c r="B189" i="12"/>
  <c r="Z188" i="12"/>
  <c r="X188" i="12"/>
  <c r="L188" i="12"/>
  <c r="N188" i="12" s="1"/>
  <c r="B188" i="12"/>
  <c r="Z187" i="12"/>
  <c r="X187" i="12"/>
  <c r="L187" i="12"/>
  <c r="N187" i="12" s="1"/>
  <c r="B187" i="12"/>
  <c r="T186" i="12"/>
  <c r="P186" i="12"/>
  <c r="X186" i="12" s="1"/>
  <c r="H186" i="12"/>
  <c r="D186" i="12"/>
  <c r="L186" i="12" s="1"/>
  <c r="N186" i="12" s="1"/>
  <c r="B186" i="12"/>
  <c r="X185" i="12"/>
  <c r="Z185" i="12" s="1"/>
  <c r="L185" i="12"/>
  <c r="N185" i="12" s="1"/>
  <c r="B185" i="12"/>
  <c r="X184" i="12"/>
  <c r="Z184" i="12" s="1"/>
  <c r="L184" i="12"/>
  <c r="N184" i="12" s="1"/>
  <c r="B184" i="12"/>
  <c r="X183" i="12"/>
  <c r="Z183" i="12" s="1"/>
  <c r="N183" i="12"/>
  <c r="L183" i="12"/>
  <c r="B183" i="12"/>
  <c r="X182" i="12"/>
  <c r="Z182" i="12" s="1"/>
  <c r="N182" i="12"/>
  <c r="L182" i="12"/>
  <c r="B182" i="12"/>
  <c r="T181" i="12"/>
  <c r="P181" i="12"/>
  <c r="X181" i="12" s="1"/>
  <c r="H181" i="12"/>
  <c r="D181" i="12"/>
  <c r="B181" i="12"/>
  <c r="X180" i="12"/>
  <c r="Z180" i="12" s="1"/>
  <c r="N180" i="12"/>
  <c r="L180" i="12"/>
  <c r="B180" i="12"/>
  <c r="Z179" i="12"/>
  <c r="X179" i="12"/>
  <c r="T179" i="12"/>
  <c r="P179" i="12"/>
  <c r="H179" i="12"/>
  <c r="N179" i="12" s="1"/>
  <c r="D179" i="12"/>
  <c r="L179" i="12" s="1"/>
  <c r="B179" i="12"/>
  <c r="Z178" i="12"/>
  <c r="X178" i="12"/>
  <c r="N178" i="12"/>
  <c r="L178" i="12"/>
  <c r="B178" i="12"/>
  <c r="X177" i="12"/>
  <c r="T177" i="12"/>
  <c r="Z177" i="12" s="1"/>
  <c r="P177" i="12"/>
  <c r="H177" i="12"/>
  <c r="N177" i="12" s="1"/>
  <c r="D177" i="12"/>
  <c r="L177" i="12" s="1"/>
  <c r="B177" i="12"/>
  <c r="Z176" i="12"/>
  <c r="X176" i="12"/>
  <c r="L176" i="12"/>
  <c r="N176" i="12" s="1"/>
  <c r="B176" i="12"/>
  <c r="T175" i="12"/>
  <c r="P175" i="12"/>
  <c r="H175" i="12"/>
  <c r="D175" i="12"/>
  <c r="L175" i="12" s="1"/>
  <c r="B175" i="12"/>
  <c r="Z174" i="12"/>
  <c r="X174" i="12"/>
  <c r="N174" i="12"/>
  <c r="L174" i="12"/>
  <c r="B174" i="12"/>
  <c r="T173" i="12"/>
  <c r="Z173" i="12" s="1"/>
  <c r="P173" i="12"/>
  <c r="X173" i="12" s="1"/>
  <c r="N173" i="12"/>
  <c r="L173" i="12"/>
  <c r="H173" i="12"/>
  <c r="D173" i="12"/>
  <c r="B173" i="12"/>
  <c r="Z172" i="12"/>
  <c r="X172" i="12"/>
  <c r="L172" i="12"/>
  <c r="N172" i="12" s="1"/>
  <c r="B172" i="12"/>
  <c r="T171" i="12"/>
  <c r="Z171" i="12" s="1"/>
  <c r="P171" i="12"/>
  <c r="X171" i="12" s="1"/>
  <c r="L171" i="12"/>
  <c r="J171" i="12"/>
  <c r="H171" i="12"/>
  <c r="D171" i="12"/>
  <c r="B171" i="12"/>
  <c r="X170" i="12"/>
  <c r="Z170" i="12" s="1"/>
  <c r="N170" i="12"/>
  <c r="L170" i="12"/>
  <c r="J170" i="12"/>
  <c r="B170" i="12"/>
  <c r="X169" i="12"/>
  <c r="Z169" i="12" s="1"/>
  <c r="N169" i="12"/>
  <c r="L169" i="12"/>
  <c r="B169" i="12"/>
  <c r="X168" i="12"/>
  <c r="Z168" i="12" s="1"/>
  <c r="L168" i="12"/>
  <c r="N168" i="12" s="1"/>
  <c r="B168" i="12"/>
  <c r="T167" i="12"/>
  <c r="P167" i="12"/>
  <c r="X167" i="12" s="1"/>
  <c r="H167" i="12"/>
  <c r="N167" i="12" s="1"/>
  <c r="D167" i="12"/>
  <c r="L167" i="12" s="1"/>
  <c r="B167" i="12"/>
  <c r="Z166" i="12"/>
  <c r="X166" i="12"/>
  <c r="N166" i="12"/>
  <c r="L166" i="12"/>
  <c r="B166" i="12"/>
  <c r="X165" i="12"/>
  <c r="Z165" i="12" s="1"/>
  <c r="L165" i="12"/>
  <c r="N165" i="12" s="1"/>
  <c r="B165" i="12"/>
  <c r="X164" i="12"/>
  <c r="Z164" i="12" s="1"/>
  <c r="T164" i="12"/>
  <c r="P164" i="12"/>
  <c r="H164" i="12"/>
  <c r="D164" i="12"/>
  <c r="B164" i="12"/>
  <c r="Z163" i="12"/>
  <c r="X163" i="12"/>
  <c r="L163" i="12"/>
  <c r="N163" i="12" s="1"/>
  <c r="B163" i="12"/>
  <c r="T162" i="12"/>
  <c r="P162" i="12"/>
  <c r="X162" i="12" s="1"/>
  <c r="H162" i="12"/>
  <c r="D162" i="12"/>
  <c r="L162" i="12" s="1"/>
  <c r="N162" i="12" s="1"/>
  <c r="B162" i="12"/>
  <c r="X161" i="12"/>
  <c r="Z161" i="12" s="1"/>
  <c r="L161" i="12"/>
  <c r="N161" i="12" s="1"/>
  <c r="B161" i="12"/>
  <c r="X160" i="12"/>
  <c r="Z160" i="12" s="1"/>
  <c r="T160" i="12"/>
  <c r="P160" i="12"/>
  <c r="H160" i="12"/>
  <c r="N160" i="12" s="1"/>
  <c r="D160" i="12"/>
  <c r="L160" i="12" s="1"/>
  <c r="B160" i="12"/>
  <c r="Z159" i="12"/>
  <c r="X159" i="12"/>
  <c r="N159" i="12"/>
  <c r="L159" i="12"/>
  <c r="B159" i="12"/>
  <c r="Z158" i="12"/>
  <c r="X158" i="12"/>
  <c r="N158" i="12"/>
  <c r="L158" i="12"/>
  <c r="B158" i="12"/>
  <c r="T157" i="12"/>
  <c r="P157" i="12"/>
  <c r="X157" i="12" s="1"/>
  <c r="N157" i="12"/>
  <c r="L157" i="12"/>
  <c r="H157" i="12"/>
  <c r="D157" i="12"/>
  <c r="B157" i="12"/>
  <c r="Z156" i="12"/>
  <c r="X156" i="12"/>
  <c r="N156" i="12"/>
  <c r="L156" i="12"/>
  <c r="B156" i="12"/>
  <c r="Z155" i="12"/>
  <c r="X155" i="12"/>
  <c r="L155" i="12"/>
  <c r="N155" i="12" s="1"/>
  <c r="B155" i="12"/>
  <c r="T154" i="12"/>
  <c r="P154" i="12"/>
  <c r="X154" i="12" s="1"/>
  <c r="H154" i="12"/>
  <c r="D154" i="12"/>
  <c r="L154" i="12" s="1"/>
  <c r="N154" i="12" s="1"/>
  <c r="B154" i="12"/>
  <c r="X153" i="12"/>
  <c r="Z153" i="12" s="1"/>
  <c r="L153" i="12"/>
  <c r="N153" i="12" s="1"/>
  <c r="B153" i="12"/>
  <c r="Z152" i="12"/>
  <c r="X152" i="12"/>
  <c r="N152" i="12"/>
  <c r="L152" i="12"/>
  <c r="B152" i="12"/>
  <c r="T151" i="12"/>
  <c r="P151" i="12"/>
  <c r="X151" i="12" s="1"/>
  <c r="H151" i="12"/>
  <c r="N151" i="12" s="1"/>
  <c r="D151" i="12"/>
  <c r="L151" i="12" s="1"/>
  <c r="B151" i="12"/>
  <c r="Z150" i="12"/>
  <c r="X150" i="12"/>
  <c r="N150" i="12"/>
  <c r="L150" i="12"/>
  <c r="B150" i="12"/>
  <c r="T149" i="12"/>
  <c r="P149" i="12"/>
  <c r="X149" i="12" s="1"/>
  <c r="N149" i="12"/>
  <c r="L149" i="12"/>
  <c r="H149" i="12"/>
  <c r="D149" i="12"/>
  <c r="B149" i="12"/>
  <c r="Z148" i="12"/>
  <c r="X148" i="12"/>
  <c r="L148" i="12"/>
  <c r="N148" i="12" s="1"/>
  <c r="B148" i="12"/>
  <c r="Z147" i="12"/>
  <c r="X147" i="12"/>
  <c r="L147" i="12"/>
  <c r="N147" i="12" s="1"/>
  <c r="B147" i="12"/>
  <c r="T146" i="12"/>
  <c r="Z146" i="12" s="1"/>
  <c r="P146" i="12"/>
  <c r="X146" i="12" s="1"/>
  <c r="H146" i="12"/>
  <c r="D146" i="12"/>
  <c r="L146" i="12" s="1"/>
  <c r="N146" i="12" s="1"/>
  <c r="B146" i="12"/>
  <c r="X145" i="12"/>
  <c r="Z145" i="12" s="1"/>
  <c r="L145" i="12"/>
  <c r="N145" i="12" s="1"/>
  <c r="B145" i="12"/>
  <c r="Z144" i="12"/>
  <c r="X144" i="12"/>
  <c r="T144" i="12"/>
  <c r="P144" i="12"/>
  <c r="H144" i="12"/>
  <c r="D144" i="12"/>
  <c r="L144" i="12" s="1"/>
  <c r="B144" i="12"/>
  <c r="Z143" i="12"/>
  <c r="X143" i="12"/>
  <c r="N143" i="12"/>
  <c r="L143" i="12"/>
  <c r="B143" i="12"/>
  <c r="Z142" i="12"/>
  <c r="X142" i="12"/>
  <c r="N142" i="12"/>
  <c r="L142" i="12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Z139" i="12"/>
  <c r="X139" i="12"/>
  <c r="N139" i="12"/>
  <c r="L139" i="12"/>
  <c r="B139" i="12"/>
  <c r="Z138" i="12"/>
  <c r="X138" i="12"/>
  <c r="V138" i="12"/>
  <c r="N138" i="12"/>
  <c r="L138" i="12"/>
  <c r="B138" i="12"/>
  <c r="X137" i="12"/>
  <c r="Z137" i="12" s="1"/>
  <c r="L137" i="12"/>
  <c r="N137" i="12" s="1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T133" i="12"/>
  <c r="Z133" i="12" s="1"/>
  <c r="P133" i="12"/>
  <c r="X133" i="12" s="1"/>
  <c r="N133" i="12"/>
  <c r="L133" i="12"/>
  <c r="H133" i="12"/>
  <c r="D133" i="12"/>
  <c r="B133" i="12"/>
  <c r="Z132" i="12"/>
  <c r="X132" i="12"/>
  <c r="L132" i="12"/>
  <c r="N132" i="12" s="1"/>
  <c r="B132" i="12"/>
  <c r="Z131" i="12"/>
  <c r="X131" i="12"/>
  <c r="L131" i="12"/>
  <c r="N131" i="12" s="1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L127" i="12"/>
  <c r="N127" i="12" s="1"/>
  <c r="B127" i="12"/>
  <c r="Z126" i="12"/>
  <c r="X126" i="12"/>
  <c r="N126" i="12"/>
  <c r="L126" i="12"/>
  <c r="B126" i="12"/>
  <c r="X125" i="12"/>
  <c r="Z125" i="12" s="1"/>
  <c r="L125" i="12"/>
  <c r="N125" i="12" s="1"/>
  <c r="B125" i="12"/>
  <c r="Z124" i="12"/>
  <c r="X124" i="12"/>
  <c r="L124" i="12"/>
  <c r="N124" i="12" s="1"/>
  <c r="B124" i="12"/>
  <c r="Z123" i="12"/>
  <c r="X123" i="12"/>
  <c r="L123" i="12"/>
  <c r="N123" i="12" s="1"/>
  <c r="B123" i="12"/>
  <c r="T122" i="12"/>
  <c r="P122" i="12"/>
  <c r="X122" i="12" s="1"/>
  <c r="H122" i="12"/>
  <c r="D122" i="12"/>
  <c r="L122" i="12" s="1"/>
  <c r="N122" i="12" s="1"/>
  <c r="B122" i="12"/>
  <c r="T121" i="12"/>
  <c r="Z121" i="12" s="1"/>
  <c r="P121" i="12"/>
  <c r="X121" i="12" s="1"/>
  <c r="H121" i="12"/>
  <c r="D121" i="12"/>
  <c r="L121" i="12" s="1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N106" i="12"/>
  <c r="L106" i="12"/>
  <c r="B106" i="12"/>
  <c r="Z105" i="12"/>
  <c r="X105" i="12"/>
  <c r="N105" i="12"/>
  <c r="L105" i="12"/>
  <c r="B105" i="12"/>
  <c r="Z104" i="12"/>
  <c r="X104" i="12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N100" i="12"/>
  <c r="L100" i="12"/>
  <c r="B100" i="12"/>
  <c r="Z99" i="12"/>
  <c r="X99" i="12"/>
  <c r="N99" i="12"/>
  <c r="L99" i="12"/>
  <c r="B99" i="12"/>
  <c r="Z98" i="12"/>
  <c r="X98" i="12"/>
  <c r="N98" i="12"/>
  <c r="L98" i="12"/>
  <c r="B98" i="12"/>
  <c r="Z97" i="12"/>
  <c r="X97" i="12"/>
  <c r="N97" i="12"/>
  <c r="L97" i="12"/>
  <c r="B97" i="12"/>
  <c r="Z96" i="12"/>
  <c r="X96" i="12"/>
  <c r="N96" i="12"/>
  <c r="L96" i="12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X90" i="12"/>
  <c r="N90" i="12"/>
  <c r="L90" i="12"/>
  <c r="J90" i="12"/>
  <c r="B90" i="12"/>
  <c r="Z89" i="12"/>
  <c r="X89" i="12"/>
  <c r="N89" i="12"/>
  <c r="L89" i="12"/>
  <c r="B89" i="12"/>
  <c r="Z88" i="12"/>
  <c r="X88" i="12"/>
  <c r="N88" i="12"/>
  <c r="L88" i="12"/>
  <c r="B88" i="12"/>
  <c r="Z87" i="12"/>
  <c r="X87" i="12"/>
  <c r="N87" i="12"/>
  <c r="L87" i="12"/>
  <c r="B87" i="12"/>
  <c r="Z86" i="12"/>
  <c r="X86" i="12"/>
  <c r="N86" i="12"/>
  <c r="L86" i="12"/>
  <c r="J86" i="12"/>
  <c r="B86" i="12"/>
  <c r="Z85" i="12"/>
  <c r="X85" i="12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Z82" i="12"/>
  <c r="X82" i="12"/>
  <c r="N82" i="12"/>
  <c r="L82" i="12"/>
  <c r="J82" i="12"/>
  <c r="B82" i="12"/>
  <c r="X81" i="12"/>
  <c r="Z81" i="12" s="1"/>
  <c r="L81" i="12"/>
  <c r="N81" i="12" s="1"/>
  <c r="B81" i="12"/>
  <c r="X80" i="12"/>
  <c r="Z80" i="12" s="1"/>
  <c r="T80" i="12"/>
  <c r="P80" i="12"/>
  <c r="J80" i="12"/>
  <c r="H80" i="12"/>
  <c r="D80" i="12"/>
  <c r="L80" i="12" s="1"/>
  <c r="N80" i="12" s="1"/>
  <c r="Z78" i="12"/>
  <c r="X78" i="12"/>
  <c r="P78" i="12"/>
  <c r="N78" i="12"/>
  <c r="D78" i="12"/>
  <c r="L78" i="12" s="1"/>
  <c r="B78" i="12"/>
  <c r="Z77" i="12"/>
  <c r="X77" i="12"/>
  <c r="P77" i="12"/>
  <c r="N77" i="12"/>
  <c r="D77" i="12"/>
  <c r="L77" i="12" s="1"/>
  <c r="B77" i="12"/>
  <c r="Z76" i="12"/>
  <c r="P76" i="12"/>
  <c r="X76" i="12" s="1"/>
  <c r="N76" i="12"/>
  <c r="L76" i="12"/>
  <c r="D76" i="12"/>
  <c r="B76" i="12"/>
  <c r="Z75" i="12"/>
  <c r="P75" i="12"/>
  <c r="X75" i="12" s="1"/>
  <c r="N75" i="12"/>
  <c r="L75" i="12"/>
  <c r="D75" i="12"/>
  <c r="B75" i="12"/>
  <c r="Z74" i="12"/>
  <c r="X74" i="12"/>
  <c r="P74" i="12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P72" i="12"/>
  <c r="X72" i="12" s="1"/>
  <c r="N72" i="12"/>
  <c r="D72" i="12"/>
  <c r="L72" i="12" s="1"/>
  <c r="B72" i="12"/>
  <c r="Z71" i="12"/>
  <c r="X71" i="12"/>
  <c r="P71" i="12"/>
  <c r="N71" i="12"/>
  <c r="L71" i="12"/>
  <c r="D71" i="12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P68" i="12"/>
  <c r="X68" i="12" s="1"/>
  <c r="N68" i="12"/>
  <c r="L68" i="12"/>
  <c r="D68" i="12"/>
  <c r="B68" i="12"/>
  <c r="Z67" i="12"/>
  <c r="X67" i="12"/>
  <c r="P67" i="12"/>
  <c r="N67" i="12"/>
  <c r="D67" i="12"/>
  <c r="L67" i="12" s="1"/>
  <c r="B67" i="12"/>
  <c r="Z66" i="12"/>
  <c r="X66" i="12"/>
  <c r="P66" i="12"/>
  <c r="N66" i="12"/>
  <c r="D66" i="12"/>
  <c r="L66" i="12" s="1"/>
  <c r="B66" i="12"/>
  <c r="Z65" i="12"/>
  <c r="X65" i="12"/>
  <c r="P65" i="12"/>
  <c r="N65" i="12"/>
  <c r="D65" i="12"/>
  <c r="L65" i="12" s="1"/>
  <c r="B65" i="12"/>
  <c r="Z64" i="12"/>
  <c r="P64" i="12"/>
  <c r="X64" i="12" s="1"/>
  <c r="N64" i="12"/>
  <c r="L64" i="12"/>
  <c r="D64" i="12"/>
  <c r="B64" i="12"/>
  <c r="Z63" i="12"/>
  <c r="P63" i="12"/>
  <c r="X63" i="12" s="1"/>
  <c r="N63" i="12"/>
  <c r="L63" i="12"/>
  <c r="D63" i="12"/>
  <c r="B63" i="12"/>
  <c r="Z62" i="12"/>
  <c r="X62" i="12"/>
  <c r="P62" i="12"/>
  <c r="N62" i="12"/>
  <c r="L62" i="12"/>
  <c r="D62" i="12"/>
  <c r="B62" i="12"/>
  <c r="Z61" i="12"/>
  <c r="P61" i="12"/>
  <c r="X61" i="12" s="1"/>
  <c r="N61" i="12"/>
  <c r="D61" i="12"/>
  <c r="L61" i="12" s="1"/>
  <c r="B61" i="12"/>
  <c r="Z60" i="12"/>
  <c r="P60" i="12"/>
  <c r="X60" i="12" s="1"/>
  <c r="N60" i="12"/>
  <c r="D60" i="12"/>
  <c r="L60" i="12" s="1"/>
  <c r="B60" i="12"/>
  <c r="Z59" i="12"/>
  <c r="X59" i="12"/>
  <c r="P59" i="12"/>
  <c r="N59" i="12"/>
  <c r="L59" i="12"/>
  <c r="D59" i="12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P56" i="12"/>
  <c r="X56" i="12" s="1"/>
  <c r="N56" i="12"/>
  <c r="L56" i="12"/>
  <c r="D56" i="12"/>
  <c r="B56" i="12"/>
  <c r="Z55" i="12"/>
  <c r="X55" i="12"/>
  <c r="P55" i="12"/>
  <c r="N55" i="12"/>
  <c r="D55" i="12"/>
  <c r="L55" i="12" s="1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D53" i="12"/>
  <c r="L53" i="12" s="1"/>
  <c r="B53" i="12"/>
  <c r="Z52" i="12"/>
  <c r="P52" i="12"/>
  <c r="X52" i="12" s="1"/>
  <c r="N52" i="12"/>
  <c r="L52" i="12"/>
  <c r="D52" i="12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L50" i="12"/>
  <c r="D50" i="12"/>
  <c r="B50" i="12"/>
  <c r="Z49" i="12"/>
  <c r="P49" i="12"/>
  <c r="X49" i="12" s="1"/>
  <c r="N49" i="12"/>
  <c r="D49" i="12"/>
  <c r="L49" i="12" s="1"/>
  <c r="B49" i="12"/>
  <c r="Z48" i="12"/>
  <c r="P48" i="12"/>
  <c r="X48" i="12" s="1"/>
  <c r="N48" i="12"/>
  <c r="D48" i="12"/>
  <c r="L48" i="12" s="1"/>
  <c r="B48" i="12"/>
  <c r="Z47" i="12"/>
  <c r="X47" i="12"/>
  <c r="P47" i="12"/>
  <c r="N47" i="12"/>
  <c r="L47" i="12"/>
  <c r="D47" i="12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P44" i="12"/>
  <c r="X44" i="12" s="1"/>
  <c r="N44" i="12"/>
  <c r="L44" i="12"/>
  <c r="D44" i="12"/>
  <c r="B44" i="12"/>
  <c r="Z43" i="12"/>
  <c r="X43" i="12"/>
  <c r="P43" i="12"/>
  <c r="N43" i="12"/>
  <c r="D43" i="12"/>
  <c r="L43" i="12" s="1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D41" i="12"/>
  <c r="L41" i="12" s="1"/>
  <c r="B41" i="12"/>
  <c r="Z40" i="12"/>
  <c r="P40" i="12"/>
  <c r="X40" i="12" s="1"/>
  <c r="N40" i="12"/>
  <c r="L40" i="12"/>
  <c r="D40" i="12"/>
  <c r="B40" i="12"/>
  <c r="Z39" i="12"/>
  <c r="P39" i="12"/>
  <c r="X39" i="12" s="1"/>
  <c r="N39" i="12"/>
  <c r="L39" i="12"/>
  <c r="D39" i="12"/>
  <c r="B39" i="12"/>
  <c r="Z38" i="12"/>
  <c r="X38" i="12"/>
  <c r="P38" i="12"/>
  <c r="N38" i="12"/>
  <c r="L38" i="12"/>
  <c r="D38" i="12"/>
  <c r="B38" i="12"/>
  <c r="Z37" i="12"/>
  <c r="P37" i="12"/>
  <c r="X37" i="12" s="1"/>
  <c r="N37" i="12"/>
  <c r="D37" i="12"/>
  <c r="L37" i="12" s="1"/>
  <c r="B37" i="12"/>
  <c r="P36" i="12"/>
  <c r="X36" i="12" s="1"/>
  <c r="Z36" i="12" s="1"/>
  <c r="D36" i="12"/>
  <c r="L36" i="12" s="1"/>
  <c r="N36" i="12" s="1"/>
  <c r="B36" i="12"/>
  <c r="Z35" i="12"/>
  <c r="X35" i="12"/>
  <c r="P35" i="12"/>
  <c r="N35" i="12"/>
  <c r="L35" i="12"/>
  <c r="D35" i="12"/>
  <c r="B35" i="12"/>
  <c r="Z34" i="12"/>
  <c r="P34" i="12"/>
  <c r="X34" i="12" s="1"/>
  <c r="N34" i="12"/>
  <c r="L34" i="12"/>
  <c r="D34" i="12"/>
  <c r="B34" i="12"/>
  <c r="Z33" i="12"/>
  <c r="P33" i="12"/>
  <c r="X33" i="12" s="1"/>
  <c r="N33" i="12"/>
  <c r="D33" i="12"/>
  <c r="L33" i="12" s="1"/>
  <c r="B33" i="12"/>
  <c r="Z32" i="12"/>
  <c r="P32" i="12"/>
  <c r="X32" i="12" s="1"/>
  <c r="N32" i="12"/>
  <c r="L32" i="12"/>
  <c r="D32" i="12"/>
  <c r="B32" i="12"/>
  <c r="Z31" i="12"/>
  <c r="X31" i="12"/>
  <c r="P31" i="12"/>
  <c r="N31" i="12"/>
  <c r="D31" i="12"/>
  <c r="L31" i="12" s="1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D29" i="12"/>
  <c r="L29" i="12" s="1"/>
  <c r="B29" i="12"/>
  <c r="Z28" i="12"/>
  <c r="P28" i="12"/>
  <c r="X28" i="12" s="1"/>
  <c r="N28" i="12"/>
  <c r="L28" i="12"/>
  <c r="D28" i="12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L26" i="12"/>
  <c r="D26" i="12"/>
  <c r="B26" i="12"/>
  <c r="Z25" i="12"/>
  <c r="X25" i="12"/>
  <c r="P25" i="12"/>
  <c r="N25" i="12"/>
  <c r="D25" i="12"/>
  <c r="L25" i="12" s="1"/>
  <c r="B25" i="12"/>
  <c r="Z24" i="12"/>
  <c r="P24" i="12"/>
  <c r="X24" i="12" s="1"/>
  <c r="N24" i="12"/>
  <c r="D24" i="12"/>
  <c r="L24" i="12" s="1"/>
  <c r="B24" i="12"/>
  <c r="Z23" i="12"/>
  <c r="X23" i="12"/>
  <c r="P23" i="12"/>
  <c r="N23" i="12"/>
  <c r="L23" i="12"/>
  <c r="D23" i="12"/>
  <c r="B23" i="12"/>
  <c r="Z22" i="12"/>
  <c r="P22" i="12"/>
  <c r="X22" i="12" s="1"/>
  <c r="N22" i="12"/>
  <c r="L22" i="12"/>
  <c r="D22" i="12"/>
  <c r="B22" i="12"/>
  <c r="Z21" i="12"/>
  <c r="P21" i="12"/>
  <c r="X21" i="12" s="1"/>
  <c r="N21" i="12"/>
  <c r="D21" i="12"/>
  <c r="L21" i="12" s="1"/>
  <c r="B21" i="12"/>
  <c r="Z20" i="12"/>
  <c r="P20" i="12"/>
  <c r="X20" i="12" s="1"/>
  <c r="N20" i="12"/>
  <c r="L20" i="12"/>
  <c r="D20" i="12"/>
  <c r="B20" i="12"/>
  <c r="Z19" i="12"/>
  <c r="X19" i="12"/>
  <c r="P19" i="12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D17" i="12"/>
  <c r="L17" i="12" s="1"/>
  <c r="B17" i="12"/>
  <c r="Z16" i="12"/>
  <c r="P16" i="12"/>
  <c r="X16" i="12" s="1"/>
  <c r="N16" i="12"/>
  <c r="L16" i="12"/>
  <c r="D16" i="12"/>
  <c r="B16" i="12"/>
  <c r="Z15" i="12"/>
  <c r="P15" i="12"/>
  <c r="X15" i="12" s="1"/>
  <c r="N15" i="12"/>
  <c r="L15" i="12"/>
  <c r="D15" i="12"/>
  <c r="B15" i="12"/>
  <c r="Z14" i="12"/>
  <c r="X14" i="12"/>
  <c r="P14" i="12"/>
  <c r="N14" i="12"/>
  <c r="L14" i="12"/>
  <c r="D14" i="12"/>
  <c r="B14" i="12"/>
  <c r="P13" i="12"/>
  <c r="D13" i="12"/>
  <c r="L13" i="12" s="1"/>
  <c r="N13" i="12" s="1"/>
  <c r="B13" i="12"/>
  <c r="T12" i="12"/>
  <c r="V210" i="12" s="1"/>
  <c r="H12" i="12"/>
  <c r="J165" i="12" s="1"/>
  <c r="D12" i="12"/>
  <c r="F114" i="12" s="1"/>
  <c r="D4" i="12"/>
  <c r="J110" i="9"/>
  <c r="J107" i="9"/>
  <c r="Z105" i="9"/>
  <c r="X105" i="9"/>
  <c r="N105" i="9"/>
  <c r="L105" i="9"/>
  <c r="Z101" i="9"/>
  <c r="X101" i="9"/>
  <c r="P101" i="9"/>
  <c r="P98" i="9" s="1"/>
  <c r="N101" i="9"/>
  <c r="J101" i="9"/>
  <c r="D101" i="9"/>
  <c r="L101" i="9" s="1"/>
  <c r="B101" i="9"/>
  <c r="Z100" i="9"/>
  <c r="X100" i="9"/>
  <c r="P100" i="9"/>
  <c r="N100" i="9"/>
  <c r="L100" i="9"/>
  <c r="D100" i="9"/>
  <c r="B100" i="9"/>
  <c r="Z99" i="9"/>
  <c r="X99" i="9"/>
  <c r="V99" i="9"/>
  <c r="P99" i="9"/>
  <c r="N99" i="9"/>
  <c r="D99" i="9"/>
  <c r="B99" i="9"/>
  <c r="V98" i="9"/>
  <c r="T98" i="9"/>
  <c r="Z98" i="9" s="1"/>
  <c r="H98" i="9"/>
  <c r="N98" i="9" s="1"/>
  <c r="Z96" i="9"/>
  <c r="X96" i="9"/>
  <c r="N96" i="9"/>
  <c r="L96" i="9"/>
  <c r="B96" i="9"/>
  <c r="X95" i="9"/>
  <c r="Z95" i="9" s="1"/>
  <c r="L95" i="9"/>
  <c r="N95" i="9" s="1"/>
  <c r="J95" i="9"/>
  <c r="B95" i="9"/>
  <c r="X94" i="9"/>
  <c r="T94" i="9"/>
  <c r="Z94" i="9" s="1"/>
  <c r="P94" i="9"/>
  <c r="J94" i="9"/>
  <c r="H94" i="9"/>
  <c r="D94" i="9"/>
  <c r="B94" i="9"/>
  <c r="Z93" i="9"/>
  <c r="X93" i="9"/>
  <c r="L93" i="9"/>
  <c r="N93" i="9" s="1"/>
  <c r="B93" i="9"/>
  <c r="T92" i="9"/>
  <c r="X92" i="9" s="1"/>
  <c r="Z92" i="9" s="1"/>
  <c r="P92" i="9"/>
  <c r="N92" i="9"/>
  <c r="H92" i="9"/>
  <c r="D92" i="9"/>
  <c r="L92" i="9" s="1"/>
  <c r="B92" i="9"/>
  <c r="Z91" i="9"/>
  <c r="X91" i="9"/>
  <c r="L91" i="9"/>
  <c r="N91" i="9" s="1"/>
  <c r="B91" i="9"/>
  <c r="Z90" i="9"/>
  <c r="X90" i="9"/>
  <c r="L90" i="9"/>
  <c r="N90" i="9" s="1"/>
  <c r="B90" i="9"/>
  <c r="T89" i="9"/>
  <c r="P89" i="9"/>
  <c r="J89" i="9"/>
  <c r="H89" i="9"/>
  <c r="N89" i="9" s="1"/>
  <c r="D89" i="9"/>
  <c r="L89" i="9" s="1"/>
  <c r="B89" i="9"/>
  <c r="X88" i="9"/>
  <c r="Z88" i="9" s="1"/>
  <c r="N88" i="9"/>
  <c r="L88" i="9"/>
  <c r="B88" i="9"/>
  <c r="X87" i="9"/>
  <c r="Z87" i="9" s="1"/>
  <c r="L87" i="9"/>
  <c r="N87" i="9" s="1"/>
  <c r="J87" i="9"/>
  <c r="B87" i="9"/>
  <c r="X86" i="9"/>
  <c r="Z86" i="9" s="1"/>
  <c r="N86" i="9"/>
  <c r="L86" i="9"/>
  <c r="B86" i="9"/>
  <c r="Z85" i="9"/>
  <c r="X85" i="9"/>
  <c r="N85" i="9"/>
  <c r="L85" i="9"/>
  <c r="B85" i="9"/>
  <c r="X84" i="9"/>
  <c r="Z84" i="9" s="1"/>
  <c r="V84" i="9"/>
  <c r="N84" i="9"/>
  <c r="L84" i="9"/>
  <c r="B84" i="9"/>
  <c r="T83" i="9"/>
  <c r="P83" i="9"/>
  <c r="X83" i="9" s="1"/>
  <c r="N83" i="9"/>
  <c r="L83" i="9"/>
  <c r="H83" i="9"/>
  <c r="D83" i="9"/>
  <c r="B83" i="9"/>
  <c r="Z82" i="9"/>
  <c r="X82" i="9"/>
  <c r="L82" i="9"/>
  <c r="N82" i="9" s="1"/>
  <c r="J82" i="9"/>
  <c r="B82" i="9"/>
  <c r="Z81" i="9"/>
  <c r="X81" i="9"/>
  <c r="L81" i="9"/>
  <c r="N81" i="9" s="1"/>
  <c r="F81" i="9"/>
  <c r="B81" i="9"/>
  <c r="T80" i="9"/>
  <c r="X80" i="9" s="1"/>
  <c r="Z80" i="9" s="1"/>
  <c r="P80" i="9"/>
  <c r="H80" i="9"/>
  <c r="D80" i="9"/>
  <c r="L80" i="9" s="1"/>
  <c r="N80" i="9" s="1"/>
  <c r="B80" i="9"/>
  <c r="Z79" i="9"/>
  <c r="X79" i="9"/>
  <c r="L79" i="9"/>
  <c r="N79" i="9" s="1"/>
  <c r="B79" i="9"/>
  <c r="Z78" i="9"/>
  <c r="X78" i="9"/>
  <c r="L78" i="9"/>
  <c r="N78" i="9" s="1"/>
  <c r="B78" i="9"/>
  <c r="T77" i="9"/>
  <c r="P77" i="9"/>
  <c r="J77" i="9"/>
  <c r="H77" i="9"/>
  <c r="D77" i="9"/>
  <c r="L77" i="9" s="1"/>
  <c r="B77" i="9"/>
  <c r="Z76" i="9"/>
  <c r="X76" i="9"/>
  <c r="N76" i="9"/>
  <c r="L76" i="9"/>
  <c r="B76" i="9"/>
  <c r="X75" i="9"/>
  <c r="Z75" i="9" s="1"/>
  <c r="L75" i="9"/>
  <c r="N75" i="9" s="1"/>
  <c r="J75" i="9"/>
  <c r="B75" i="9"/>
  <c r="X74" i="9"/>
  <c r="Z74" i="9" s="1"/>
  <c r="N74" i="9"/>
  <c r="L74" i="9"/>
  <c r="B74" i="9"/>
  <c r="Z73" i="9"/>
  <c r="X73" i="9"/>
  <c r="N73" i="9"/>
  <c r="L73" i="9"/>
  <c r="B73" i="9"/>
  <c r="T72" i="9"/>
  <c r="P72" i="9"/>
  <c r="L72" i="9"/>
  <c r="H72" i="9"/>
  <c r="N72" i="9" s="1"/>
  <c r="D72" i="9"/>
  <c r="B72" i="9"/>
  <c r="X71" i="9"/>
  <c r="Z71" i="9" s="1"/>
  <c r="N71" i="9"/>
  <c r="L71" i="9"/>
  <c r="J71" i="9"/>
  <c r="B71" i="9"/>
  <c r="Z70" i="9"/>
  <c r="X70" i="9"/>
  <c r="L70" i="9"/>
  <c r="N70" i="9" s="1"/>
  <c r="J70" i="9"/>
  <c r="B70" i="9"/>
  <c r="Z69" i="9"/>
  <c r="X69" i="9"/>
  <c r="N69" i="9"/>
  <c r="L69" i="9"/>
  <c r="F69" i="9"/>
  <c r="B69" i="9"/>
  <c r="Z68" i="9"/>
  <c r="X68" i="9"/>
  <c r="N68" i="9"/>
  <c r="L68" i="9"/>
  <c r="J68" i="9"/>
  <c r="B68" i="9"/>
  <c r="X67" i="9"/>
  <c r="T67" i="9"/>
  <c r="P67" i="9"/>
  <c r="H67" i="9"/>
  <c r="D67" i="9"/>
  <c r="B67" i="9"/>
  <c r="X66" i="9"/>
  <c r="Z66" i="9" s="1"/>
  <c r="L66" i="9"/>
  <c r="N66" i="9" s="1"/>
  <c r="B66" i="9"/>
  <c r="Z65" i="9"/>
  <c r="X65" i="9"/>
  <c r="N65" i="9"/>
  <c r="L65" i="9"/>
  <c r="B65" i="9"/>
  <c r="T64" i="9"/>
  <c r="P64" i="9"/>
  <c r="X64" i="9" s="1"/>
  <c r="Z64" i="9" s="1"/>
  <c r="N64" i="9"/>
  <c r="L64" i="9"/>
  <c r="J64" i="9"/>
  <c r="H64" i="9"/>
  <c r="D64" i="9"/>
  <c r="B64" i="9"/>
  <c r="X63" i="9"/>
  <c r="Z63" i="9" s="1"/>
  <c r="L63" i="9"/>
  <c r="N63" i="9" s="1"/>
  <c r="J63" i="9"/>
  <c r="B63" i="9"/>
  <c r="X62" i="9"/>
  <c r="T62" i="9"/>
  <c r="Z62" i="9" s="1"/>
  <c r="P62" i="9"/>
  <c r="J62" i="9"/>
  <c r="H62" i="9"/>
  <c r="D62" i="9"/>
  <c r="B62" i="9"/>
  <c r="Z61" i="9"/>
  <c r="X61" i="9"/>
  <c r="N61" i="9"/>
  <c r="L61" i="9"/>
  <c r="B61" i="9"/>
  <c r="Z60" i="9"/>
  <c r="X60" i="9"/>
  <c r="N60" i="9"/>
  <c r="L60" i="9"/>
  <c r="J60" i="9"/>
  <c r="B60" i="9"/>
  <c r="X59" i="9"/>
  <c r="T59" i="9"/>
  <c r="P59" i="9"/>
  <c r="H59" i="9"/>
  <c r="D59" i="9"/>
  <c r="B59" i="9"/>
  <c r="X58" i="9"/>
  <c r="Z58" i="9" s="1"/>
  <c r="L58" i="9"/>
  <c r="N58" i="9" s="1"/>
  <c r="B58" i="9"/>
  <c r="T57" i="9"/>
  <c r="P57" i="9"/>
  <c r="J57" i="9"/>
  <c r="H57" i="9"/>
  <c r="D57" i="9"/>
  <c r="L57" i="9" s="1"/>
  <c r="B57" i="9"/>
  <c r="Z56" i="9"/>
  <c r="X56" i="9"/>
  <c r="N56" i="9"/>
  <c r="L56" i="9"/>
  <c r="B56" i="9"/>
  <c r="X55" i="9"/>
  <c r="T55" i="9"/>
  <c r="P55" i="9"/>
  <c r="N55" i="9"/>
  <c r="L55" i="9"/>
  <c r="H55" i="9"/>
  <c r="D55" i="9"/>
  <c r="B55" i="9"/>
  <c r="Z54" i="9"/>
  <c r="X54" i="9"/>
  <c r="N54" i="9"/>
  <c r="L54" i="9"/>
  <c r="J54" i="9"/>
  <c r="B54" i="9"/>
  <c r="Z53" i="9"/>
  <c r="X53" i="9"/>
  <c r="N53" i="9"/>
  <c r="L53" i="9"/>
  <c r="B53" i="9"/>
  <c r="Z52" i="9"/>
  <c r="T52" i="9"/>
  <c r="X52" i="9" s="1"/>
  <c r="P52" i="9"/>
  <c r="N52" i="9"/>
  <c r="H52" i="9"/>
  <c r="D52" i="9"/>
  <c r="L52" i="9" s="1"/>
  <c r="B52" i="9"/>
  <c r="Z51" i="9"/>
  <c r="X51" i="9"/>
  <c r="N51" i="9"/>
  <c r="L51" i="9"/>
  <c r="B51" i="9"/>
  <c r="Z50" i="9"/>
  <c r="X50" i="9"/>
  <c r="L50" i="9"/>
  <c r="N50" i="9" s="1"/>
  <c r="B50" i="9"/>
  <c r="T49" i="9"/>
  <c r="P49" i="9"/>
  <c r="J49" i="9"/>
  <c r="H49" i="9"/>
  <c r="D49" i="9"/>
  <c r="L49" i="9" s="1"/>
  <c r="B49" i="9"/>
  <c r="X48" i="9"/>
  <c r="Z48" i="9" s="1"/>
  <c r="N48" i="9"/>
  <c r="L48" i="9"/>
  <c r="B48" i="9"/>
  <c r="X47" i="9"/>
  <c r="T47" i="9"/>
  <c r="P47" i="9"/>
  <c r="L47" i="9"/>
  <c r="N47" i="9" s="1"/>
  <c r="H47" i="9"/>
  <c r="D47" i="9"/>
  <c r="B47" i="9"/>
  <c r="Z46" i="9"/>
  <c r="X46" i="9"/>
  <c r="L46" i="9"/>
  <c r="N46" i="9" s="1"/>
  <c r="J46" i="9"/>
  <c r="B46" i="9"/>
  <c r="T45" i="9"/>
  <c r="P45" i="9"/>
  <c r="L45" i="9"/>
  <c r="J45" i="9"/>
  <c r="H45" i="9"/>
  <c r="D45" i="9"/>
  <c r="B45" i="9"/>
  <c r="Z44" i="9"/>
  <c r="X44" i="9"/>
  <c r="N44" i="9"/>
  <c r="L44" i="9"/>
  <c r="J44" i="9"/>
  <c r="B44" i="9"/>
  <c r="V43" i="9"/>
  <c r="T43" i="9"/>
  <c r="Z43" i="9" s="1"/>
  <c r="P43" i="9"/>
  <c r="X43" i="9" s="1"/>
  <c r="H43" i="9"/>
  <c r="D43" i="9"/>
  <c r="B43" i="9"/>
  <c r="Z42" i="9"/>
  <c r="X42" i="9"/>
  <c r="N42" i="9"/>
  <c r="L42" i="9"/>
  <c r="B42" i="9"/>
  <c r="Z41" i="9"/>
  <c r="X41" i="9"/>
  <c r="N41" i="9"/>
  <c r="L41" i="9"/>
  <c r="B41" i="9"/>
  <c r="Z40" i="9"/>
  <c r="X40" i="9"/>
  <c r="N40" i="9"/>
  <c r="L40" i="9"/>
  <c r="F40" i="9"/>
  <c r="B40" i="9"/>
  <c r="X39" i="9"/>
  <c r="Z39" i="9" s="1"/>
  <c r="L39" i="9"/>
  <c r="N39" i="9" s="1"/>
  <c r="J39" i="9"/>
  <c r="B39" i="9"/>
  <c r="Z38" i="9"/>
  <c r="X38" i="9"/>
  <c r="N38" i="9"/>
  <c r="L38" i="9"/>
  <c r="B38" i="9"/>
  <c r="Z37" i="9"/>
  <c r="X37" i="9"/>
  <c r="N37" i="9"/>
  <c r="L37" i="9"/>
  <c r="B37" i="9"/>
  <c r="Z36" i="9"/>
  <c r="X36" i="9"/>
  <c r="N36" i="9"/>
  <c r="L36" i="9"/>
  <c r="F36" i="9"/>
  <c r="B36" i="9"/>
  <c r="Z35" i="9"/>
  <c r="X35" i="9"/>
  <c r="N35" i="9"/>
  <c r="L35" i="9"/>
  <c r="J35" i="9"/>
  <c r="B35" i="9"/>
  <c r="X34" i="9"/>
  <c r="Z34" i="9" s="1"/>
  <c r="N34" i="9"/>
  <c r="L34" i="9"/>
  <c r="B34" i="9"/>
  <c r="Z33" i="9"/>
  <c r="X33" i="9"/>
  <c r="N33" i="9"/>
  <c r="L33" i="9"/>
  <c r="B33" i="9"/>
  <c r="V32" i="9"/>
  <c r="T32" i="9"/>
  <c r="P32" i="9"/>
  <c r="L32" i="9"/>
  <c r="J32" i="9"/>
  <c r="H32" i="9"/>
  <c r="D32" i="9"/>
  <c r="B32" i="9"/>
  <c r="X31" i="9"/>
  <c r="Z31" i="9" s="1"/>
  <c r="N31" i="9"/>
  <c r="L31" i="9"/>
  <c r="J31" i="9"/>
  <c r="B31" i="9"/>
  <c r="Z30" i="9"/>
  <c r="X30" i="9"/>
  <c r="L30" i="9"/>
  <c r="N30" i="9" s="1"/>
  <c r="J30" i="9"/>
  <c r="B30" i="9"/>
  <c r="Z29" i="9"/>
  <c r="X29" i="9"/>
  <c r="N29" i="9"/>
  <c r="L29" i="9"/>
  <c r="F29" i="9"/>
  <c r="B29" i="9"/>
  <c r="Z28" i="9"/>
  <c r="X28" i="9"/>
  <c r="N28" i="9"/>
  <c r="L28" i="9"/>
  <c r="J28" i="9"/>
  <c r="B28" i="9"/>
  <c r="Z27" i="9"/>
  <c r="X27" i="9"/>
  <c r="N27" i="9"/>
  <c r="L27" i="9"/>
  <c r="J27" i="9"/>
  <c r="B27" i="9"/>
  <c r="Z26" i="9"/>
  <c r="X26" i="9"/>
  <c r="L26" i="9"/>
  <c r="N26" i="9" s="1"/>
  <c r="J26" i="9"/>
  <c r="B26" i="9"/>
  <c r="Z25" i="9"/>
  <c r="X25" i="9"/>
  <c r="N25" i="9"/>
  <c r="L25" i="9"/>
  <c r="B25" i="9"/>
  <c r="Z24" i="9"/>
  <c r="X24" i="9"/>
  <c r="N24" i="9"/>
  <c r="L24" i="9"/>
  <c r="J24" i="9"/>
  <c r="B24" i="9"/>
  <c r="X23" i="9"/>
  <c r="Z23" i="9" s="1"/>
  <c r="V23" i="9"/>
  <c r="L23" i="9"/>
  <c r="N23" i="9" s="1"/>
  <c r="J23" i="9"/>
  <c r="B23" i="9"/>
  <c r="Z22" i="9"/>
  <c r="X22" i="9"/>
  <c r="L22" i="9"/>
  <c r="N22" i="9" s="1"/>
  <c r="J22" i="9"/>
  <c r="B22" i="9"/>
  <c r="Z21" i="9"/>
  <c r="X21" i="9"/>
  <c r="N21" i="9"/>
  <c r="L21" i="9"/>
  <c r="B21" i="9"/>
  <c r="Z20" i="9"/>
  <c r="T20" i="9"/>
  <c r="P20" i="9"/>
  <c r="X20" i="9" s="1"/>
  <c r="N20" i="9"/>
  <c r="J20" i="9"/>
  <c r="H20" i="9"/>
  <c r="D20" i="9"/>
  <c r="L20" i="9" s="1"/>
  <c r="B20" i="9"/>
  <c r="T19" i="9"/>
  <c r="P19" i="9"/>
  <c r="X19" i="9" s="1"/>
  <c r="H19" i="9"/>
  <c r="D19" i="9"/>
  <c r="H17" i="9"/>
  <c r="T15" i="9"/>
  <c r="Z15" i="9" s="1"/>
  <c r="P15" i="9"/>
  <c r="X15" i="9" s="1"/>
  <c r="J15" i="9"/>
  <c r="H15" i="9"/>
  <c r="N15" i="9" s="1"/>
  <c r="D15" i="9"/>
  <c r="Z13" i="9"/>
  <c r="P13" i="9"/>
  <c r="X13" i="9" s="1"/>
  <c r="N13" i="9"/>
  <c r="D13" i="9"/>
  <c r="L13" i="9" s="1"/>
  <c r="B13" i="9"/>
  <c r="T12" i="9"/>
  <c r="V88" i="9" s="1"/>
  <c r="N12" i="9"/>
  <c r="H12" i="9"/>
  <c r="J83" i="9" s="1"/>
  <c r="D12" i="9"/>
  <c r="F19" i="9" s="1"/>
  <c r="D4" i="9"/>
  <c r="R31" i="6"/>
  <c r="J31" i="6"/>
  <c r="T29" i="6"/>
  <c r="R29" i="6"/>
  <c r="P29" i="6"/>
  <c r="J29" i="6"/>
  <c r="H29" i="6"/>
  <c r="D29" i="6"/>
  <c r="T28" i="6"/>
  <c r="R28" i="6"/>
  <c r="P28" i="6"/>
  <c r="X28" i="6" s="1"/>
  <c r="J28" i="6"/>
  <c r="H28" i="6"/>
  <c r="D28" i="6"/>
  <c r="R26" i="6"/>
  <c r="J26" i="6"/>
  <c r="Z24" i="6"/>
  <c r="X24" i="6"/>
  <c r="R24" i="6"/>
  <c r="N24" i="6"/>
  <c r="L24" i="6"/>
  <c r="J22" i="6"/>
  <c r="Z20" i="6"/>
  <c r="X20" i="6"/>
  <c r="T20" i="6"/>
  <c r="P20" i="6"/>
  <c r="L20" i="6"/>
  <c r="J20" i="6"/>
  <c r="H20" i="6"/>
  <c r="N20" i="6" s="1"/>
  <c r="D20" i="6"/>
  <c r="T18" i="6"/>
  <c r="Z18" i="6" s="1"/>
  <c r="P18" i="6"/>
  <c r="L18" i="6"/>
  <c r="J18" i="6"/>
  <c r="H18" i="6"/>
  <c r="N18" i="6" s="1"/>
  <c r="D18" i="6"/>
  <c r="J16" i="6"/>
  <c r="Z14" i="6"/>
  <c r="X14" i="6"/>
  <c r="T14" i="6"/>
  <c r="T16" i="6" s="1"/>
  <c r="P14" i="6"/>
  <c r="J14" i="6"/>
  <c r="H14" i="6"/>
  <c r="N14" i="6" s="1"/>
  <c r="D14" i="6"/>
  <c r="Z12" i="6"/>
  <c r="X12" i="6"/>
  <c r="T12" i="6"/>
  <c r="V22" i="6" s="1"/>
  <c r="P12" i="6"/>
  <c r="N12" i="6"/>
  <c r="H12" i="6"/>
  <c r="J24" i="6" s="1"/>
  <c r="D12" i="6"/>
  <c r="D4" i="6"/>
  <c r="Z270" i="3"/>
  <c r="X270" i="3"/>
  <c r="T270" i="3"/>
  <c r="P270" i="3"/>
  <c r="H270" i="3"/>
  <c r="D270" i="3"/>
  <c r="L270" i="3" s="1"/>
  <c r="Z269" i="3"/>
  <c r="X269" i="3"/>
  <c r="T269" i="3"/>
  <c r="P269" i="3"/>
  <c r="H269" i="3"/>
  <c r="N269" i="3" s="1"/>
  <c r="D269" i="3"/>
  <c r="L269" i="3" s="1"/>
  <c r="Z265" i="3"/>
  <c r="X265" i="3"/>
  <c r="N265" i="3"/>
  <c r="L265" i="3"/>
  <c r="Z261" i="3"/>
  <c r="P261" i="3"/>
  <c r="X261" i="3" s="1"/>
  <c r="N261" i="3"/>
  <c r="D261" i="3"/>
  <c r="L261" i="3" s="1"/>
  <c r="B261" i="3"/>
  <c r="Z260" i="3"/>
  <c r="P260" i="3"/>
  <c r="X260" i="3" s="1"/>
  <c r="N260" i="3"/>
  <c r="L260" i="3"/>
  <c r="D260" i="3"/>
  <c r="B260" i="3"/>
  <c r="X259" i="3"/>
  <c r="Z259" i="3" s="1"/>
  <c r="P259" i="3"/>
  <c r="L259" i="3"/>
  <c r="N259" i="3" s="1"/>
  <c r="D259" i="3"/>
  <c r="B259" i="3"/>
  <c r="Z258" i="3"/>
  <c r="P258" i="3"/>
  <c r="X258" i="3" s="1"/>
  <c r="N258" i="3"/>
  <c r="L258" i="3"/>
  <c r="J258" i="3"/>
  <c r="D258" i="3"/>
  <c r="B258" i="3"/>
  <c r="P257" i="3"/>
  <c r="X257" i="3" s="1"/>
  <c r="Z257" i="3" s="1"/>
  <c r="D257" i="3"/>
  <c r="L257" i="3" s="1"/>
  <c r="N257" i="3" s="1"/>
  <c r="B257" i="3"/>
  <c r="P256" i="3"/>
  <c r="X256" i="3" s="1"/>
  <c r="Z256" i="3" s="1"/>
  <c r="D256" i="3"/>
  <c r="L256" i="3" s="1"/>
  <c r="N256" i="3" s="1"/>
  <c r="B256" i="3"/>
  <c r="Z255" i="3"/>
  <c r="P255" i="3"/>
  <c r="X255" i="3" s="1"/>
  <c r="N255" i="3"/>
  <c r="D255" i="3"/>
  <c r="L255" i="3" s="1"/>
  <c r="B255" i="3"/>
  <c r="T254" i="3"/>
  <c r="H254" i="3"/>
  <c r="D254" i="3"/>
  <c r="L254" i="3" s="1"/>
  <c r="N254" i="3" s="1"/>
  <c r="Z252" i="3"/>
  <c r="X252" i="3"/>
  <c r="L252" i="3"/>
  <c r="N252" i="3" s="1"/>
  <c r="B252" i="3"/>
  <c r="X251" i="3"/>
  <c r="V251" i="3"/>
  <c r="T251" i="3"/>
  <c r="Z251" i="3" s="1"/>
  <c r="P251" i="3"/>
  <c r="H251" i="3"/>
  <c r="D251" i="3"/>
  <c r="L251" i="3" s="1"/>
  <c r="B251" i="3"/>
  <c r="X250" i="3"/>
  <c r="Z250" i="3" s="1"/>
  <c r="N250" i="3"/>
  <c r="L250" i="3"/>
  <c r="B250" i="3"/>
  <c r="X249" i="3"/>
  <c r="Z249" i="3" s="1"/>
  <c r="N249" i="3"/>
  <c r="L249" i="3"/>
  <c r="B249" i="3"/>
  <c r="X248" i="3"/>
  <c r="Z248" i="3" s="1"/>
  <c r="N248" i="3"/>
  <c r="L248" i="3"/>
  <c r="B248" i="3"/>
  <c r="T247" i="3"/>
  <c r="P247" i="3"/>
  <c r="X247" i="3" s="1"/>
  <c r="H247" i="3"/>
  <c r="D247" i="3"/>
  <c r="B247" i="3"/>
  <c r="Z246" i="3"/>
  <c r="X246" i="3"/>
  <c r="N246" i="3"/>
  <c r="L246" i="3"/>
  <c r="B246" i="3"/>
  <c r="Z245" i="3"/>
  <c r="X245" i="3"/>
  <c r="T245" i="3"/>
  <c r="P245" i="3"/>
  <c r="H245" i="3"/>
  <c r="N245" i="3" s="1"/>
  <c r="D245" i="3"/>
  <c r="L245" i="3" s="1"/>
  <c r="B245" i="3"/>
  <c r="Z244" i="3"/>
  <c r="X244" i="3"/>
  <c r="L244" i="3"/>
  <c r="N244" i="3" s="1"/>
  <c r="B244" i="3"/>
  <c r="X243" i="3"/>
  <c r="Z243" i="3" s="1"/>
  <c r="V243" i="3"/>
  <c r="L243" i="3"/>
  <c r="N243" i="3" s="1"/>
  <c r="B243" i="3"/>
  <c r="T242" i="3"/>
  <c r="P242" i="3"/>
  <c r="X242" i="3" s="1"/>
  <c r="Z242" i="3" s="1"/>
  <c r="H242" i="3"/>
  <c r="D242" i="3"/>
  <c r="L242" i="3" s="1"/>
  <c r="N242" i="3" s="1"/>
  <c r="B242" i="3"/>
  <c r="X241" i="3"/>
  <c r="Z241" i="3" s="1"/>
  <c r="N241" i="3"/>
  <c r="L241" i="3"/>
  <c r="B241" i="3"/>
  <c r="X240" i="3"/>
  <c r="Z240" i="3" s="1"/>
  <c r="N240" i="3"/>
  <c r="L240" i="3"/>
  <c r="B240" i="3"/>
  <c r="Z239" i="3"/>
  <c r="X239" i="3"/>
  <c r="N239" i="3"/>
  <c r="L239" i="3"/>
  <c r="B239" i="3"/>
  <c r="X238" i="3"/>
  <c r="Z238" i="3" s="1"/>
  <c r="N238" i="3"/>
  <c r="L238" i="3"/>
  <c r="B238" i="3"/>
  <c r="X237" i="3"/>
  <c r="Z237" i="3" s="1"/>
  <c r="N237" i="3"/>
  <c r="L237" i="3"/>
  <c r="B237" i="3"/>
  <c r="X236" i="3"/>
  <c r="Z236" i="3" s="1"/>
  <c r="N236" i="3"/>
  <c r="L236" i="3"/>
  <c r="B236" i="3"/>
  <c r="X235" i="3"/>
  <c r="Z235" i="3" s="1"/>
  <c r="L235" i="3"/>
  <c r="N235" i="3" s="1"/>
  <c r="B235" i="3"/>
  <c r="X234" i="3"/>
  <c r="Z234" i="3" s="1"/>
  <c r="N234" i="3"/>
  <c r="L234" i="3"/>
  <c r="B234" i="3"/>
  <c r="X233" i="3"/>
  <c r="Z233" i="3" s="1"/>
  <c r="N233" i="3"/>
  <c r="L233" i="3"/>
  <c r="B233" i="3"/>
  <c r="X232" i="3"/>
  <c r="Z232" i="3" s="1"/>
  <c r="N232" i="3"/>
  <c r="L232" i="3"/>
  <c r="B232" i="3"/>
  <c r="X231" i="3"/>
  <c r="Z231" i="3" s="1"/>
  <c r="L231" i="3"/>
  <c r="N231" i="3" s="1"/>
  <c r="B231" i="3"/>
  <c r="X230" i="3"/>
  <c r="Z230" i="3" s="1"/>
  <c r="T230" i="3"/>
  <c r="P230" i="3"/>
  <c r="L230" i="3"/>
  <c r="H230" i="3"/>
  <c r="N230" i="3" s="1"/>
  <c r="D230" i="3"/>
  <c r="B230" i="3"/>
  <c r="Z229" i="3"/>
  <c r="X229" i="3"/>
  <c r="N229" i="3"/>
  <c r="L229" i="3"/>
  <c r="B229" i="3"/>
  <c r="Z228" i="3"/>
  <c r="X228" i="3"/>
  <c r="V228" i="3"/>
  <c r="N228" i="3"/>
  <c r="L228" i="3"/>
  <c r="B228" i="3"/>
  <c r="T227" i="3"/>
  <c r="Z227" i="3" s="1"/>
  <c r="P227" i="3"/>
  <c r="X227" i="3" s="1"/>
  <c r="N227" i="3"/>
  <c r="L227" i="3"/>
  <c r="H227" i="3"/>
  <c r="D227" i="3"/>
  <c r="B227" i="3"/>
  <c r="Z226" i="3"/>
  <c r="X226" i="3"/>
  <c r="L226" i="3"/>
  <c r="N226" i="3" s="1"/>
  <c r="B226" i="3"/>
  <c r="Z225" i="3"/>
  <c r="X225" i="3"/>
  <c r="L225" i="3"/>
  <c r="N225" i="3" s="1"/>
  <c r="B225" i="3"/>
  <c r="Z224" i="3"/>
  <c r="X224" i="3"/>
  <c r="L224" i="3"/>
  <c r="N224" i="3" s="1"/>
  <c r="B224" i="3"/>
  <c r="X223" i="3"/>
  <c r="Z223" i="3" s="1"/>
  <c r="V223" i="3"/>
  <c r="L223" i="3"/>
  <c r="N223" i="3" s="1"/>
  <c r="B223" i="3"/>
  <c r="Z222" i="3"/>
  <c r="X222" i="3"/>
  <c r="L222" i="3"/>
  <c r="N222" i="3" s="1"/>
  <c r="B222" i="3"/>
  <c r="T221" i="3"/>
  <c r="Z221" i="3" s="1"/>
  <c r="P221" i="3"/>
  <c r="X221" i="3" s="1"/>
  <c r="L221" i="3"/>
  <c r="J221" i="3"/>
  <c r="H221" i="3"/>
  <c r="N221" i="3" s="1"/>
  <c r="D221" i="3"/>
  <c r="B221" i="3"/>
  <c r="X220" i="3"/>
  <c r="Z220" i="3" s="1"/>
  <c r="N220" i="3"/>
  <c r="L220" i="3"/>
  <c r="B220" i="3"/>
  <c r="X219" i="3"/>
  <c r="Z219" i="3" s="1"/>
  <c r="L219" i="3"/>
  <c r="N219" i="3" s="1"/>
  <c r="B219" i="3"/>
  <c r="X218" i="3"/>
  <c r="Z218" i="3" s="1"/>
  <c r="N218" i="3"/>
  <c r="L218" i="3"/>
  <c r="B218" i="3"/>
  <c r="X217" i="3"/>
  <c r="Z217" i="3" s="1"/>
  <c r="N217" i="3"/>
  <c r="L217" i="3"/>
  <c r="B217" i="3"/>
  <c r="X216" i="3"/>
  <c r="T216" i="3"/>
  <c r="Z216" i="3" s="1"/>
  <c r="P216" i="3"/>
  <c r="L216" i="3"/>
  <c r="N216" i="3" s="1"/>
  <c r="H216" i="3"/>
  <c r="D216" i="3"/>
  <c r="B216" i="3"/>
  <c r="X215" i="3"/>
  <c r="Z215" i="3" s="1"/>
  <c r="L215" i="3"/>
  <c r="N215" i="3" s="1"/>
  <c r="J215" i="3"/>
  <c r="B215" i="3"/>
  <c r="Z214" i="3"/>
  <c r="X214" i="3"/>
  <c r="N214" i="3"/>
  <c r="L214" i="3"/>
  <c r="B214" i="3"/>
  <c r="Z213" i="3"/>
  <c r="X213" i="3"/>
  <c r="N213" i="3"/>
  <c r="L213" i="3"/>
  <c r="B213" i="3"/>
  <c r="Z212" i="3"/>
  <c r="X212" i="3"/>
  <c r="V212" i="3"/>
  <c r="N212" i="3"/>
  <c r="L212" i="3"/>
  <c r="B212" i="3"/>
  <c r="T211" i="3"/>
  <c r="P211" i="3"/>
  <c r="X211" i="3" s="1"/>
  <c r="N211" i="3"/>
  <c r="L211" i="3"/>
  <c r="H211" i="3"/>
  <c r="D211" i="3"/>
  <c r="B211" i="3"/>
  <c r="Z210" i="3"/>
  <c r="X210" i="3"/>
  <c r="L210" i="3"/>
  <c r="N210" i="3" s="1"/>
  <c r="B210" i="3"/>
  <c r="T209" i="3"/>
  <c r="Z209" i="3" s="1"/>
  <c r="P209" i="3"/>
  <c r="X209" i="3" s="1"/>
  <c r="L209" i="3"/>
  <c r="J209" i="3"/>
  <c r="H209" i="3"/>
  <c r="N209" i="3" s="1"/>
  <c r="D209" i="3"/>
  <c r="B209" i="3"/>
  <c r="X208" i="3"/>
  <c r="Z208" i="3" s="1"/>
  <c r="N208" i="3"/>
  <c r="L208" i="3"/>
  <c r="B208" i="3"/>
  <c r="T207" i="3"/>
  <c r="P207" i="3"/>
  <c r="X207" i="3" s="1"/>
  <c r="H207" i="3"/>
  <c r="D207" i="3"/>
  <c r="B207" i="3"/>
  <c r="Z206" i="3"/>
  <c r="X206" i="3"/>
  <c r="N206" i="3"/>
  <c r="L206" i="3"/>
  <c r="B206" i="3"/>
  <c r="Z205" i="3"/>
  <c r="X205" i="3"/>
  <c r="T205" i="3"/>
  <c r="P205" i="3"/>
  <c r="H205" i="3"/>
  <c r="N205" i="3" s="1"/>
  <c r="D205" i="3"/>
  <c r="L205" i="3" s="1"/>
  <c r="B205" i="3"/>
  <c r="Z204" i="3"/>
  <c r="X204" i="3"/>
  <c r="L204" i="3"/>
  <c r="N204" i="3" s="1"/>
  <c r="B204" i="3"/>
  <c r="X203" i="3"/>
  <c r="V203" i="3"/>
  <c r="T203" i="3"/>
  <c r="Z203" i="3" s="1"/>
  <c r="P203" i="3"/>
  <c r="H203" i="3"/>
  <c r="N203" i="3" s="1"/>
  <c r="D203" i="3"/>
  <c r="L203" i="3" s="1"/>
  <c r="B203" i="3"/>
  <c r="X202" i="3"/>
  <c r="Z202" i="3" s="1"/>
  <c r="N202" i="3"/>
  <c r="L202" i="3"/>
  <c r="B202" i="3"/>
  <c r="T201" i="3"/>
  <c r="P201" i="3"/>
  <c r="H201" i="3"/>
  <c r="N201" i="3" s="1"/>
  <c r="D201" i="3"/>
  <c r="L201" i="3" s="1"/>
  <c r="B201" i="3"/>
  <c r="Z200" i="3"/>
  <c r="X200" i="3"/>
  <c r="V200" i="3"/>
  <c r="N200" i="3"/>
  <c r="L200" i="3"/>
  <c r="B200" i="3"/>
  <c r="T199" i="3"/>
  <c r="P199" i="3"/>
  <c r="X199" i="3" s="1"/>
  <c r="N199" i="3"/>
  <c r="L199" i="3"/>
  <c r="H199" i="3"/>
  <c r="D199" i="3"/>
  <c r="B199" i="3"/>
  <c r="Z198" i="3"/>
  <c r="X198" i="3"/>
  <c r="L198" i="3"/>
  <c r="N198" i="3" s="1"/>
  <c r="B198" i="3"/>
  <c r="Z197" i="3"/>
  <c r="X197" i="3"/>
  <c r="N197" i="3"/>
  <c r="L197" i="3"/>
  <c r="B197" i="3"/>
  <c r="Z196" i="3"/>
  <c r="X196" i="3"/>
  <c r="L196" i="3"/>
  <c r="N196" i="3" s="1"/>
  <c r="B196" i="3"/>
  <c r="X195" i="3"/>
  <c r="V195" i="3"/>
  <c r="T195" i="3"/>
  <c r="Z195" i="3" s="1"/>
  <c r="P195" i="3"/>
  <c r="H195" i="3"/>
  <c r="D195" i="3"/>
  <c r="L195" i="3" s="1"/>
  <c r="B195" i="3"/>
  <c r="X194" i="3"/>
  <c r="Z194" i="3" s="1"/>
  <c r="N194" i="3"/>
  <c r="L194" i="3"/>
  <c r="B194" i="3"/>
  <c r="X193" i="3"/>
  <c r="Z193" i="3" s="1"/>
  <c r="N193" i="3"/>
  <c r="L193" i="3"/>
  <c r="B193" i="3"/>
  <c r="X192" i="3"/>
  <c r="T192" i="3"/>
  <c r="Z192" i="3" s="1"/>
  <c r="P192" i="3"/>
  <c r="L192" i="3"/>
  <c r="N192" i="3" s="1"/>
  <c r="H192" i="3"/>
  <c r="D192" i="3"/>
  <c r="B192" i="3"/>
  <c r="X191" i="3"/>
  <c r="Z191" i="3" s="1"/>
  <c r="L191" i="3"/>
  <c r="N191" i="3" s="1"/>
  <c r="J191" i="3"/>
  <c r="B191" i="3"/>
  <c r="T190" i="3"/>
  <c r="P190" i="3"/>
  <c r="H190" i="3"/>
  <c r="D190" i="3"/>
  <c r="B190" i="3"/>
  <c r="Z189" i="3"/>
  <c r="X189" i="3"/>
  <c r="L189" i="3"/>
  <c r="N189" i="3" s="1"/>
  <c r="B189" i="3"/>
  <c r="T188" i="3"/>
  <c r="P188" i="3"/>
  <c r="X188" i="3" s="1"/>
  <c r="Z188" i="3" s="1"/>
  <c r="H188" i="3"/>
  <c r="D188" i="3"/>
  <c r="L188" i="3" s="1"/>
  <c r="N188" i="3" s="1"/>
  <c r="B188" i="3"/>
  <c r="X187" i="3"/>
  <c r="Z187" i="3" s="1"/>
  <c r="L187" i="3"/>
  <c r="N187" i="3" s="1"/>
  <c r="B187" i="3"/>
  <c r="Z186" i="3"/>
  <c r="X186" i="3"/>
  <c r="N186" i="3"/>
  <c r="L186" i="3"/>
  <c r="B186" i="3"/>
  <c r="T185" i="3"/>
  <c r="P185" i="3"/>
  <c r="X185" i="3" s="1"/>
  <c r="H185" i="3"/>
  <c r="N185" i="3" s="1"/>
  <c r="D185" i="3"/>
  <c r="L185" i="3" s="1"/>
  <c r="B185" i="3"/>
  <c r="Z184" i="3"/>
  <c r="X184" i="3"/>
  <c r="V184" i="3"/>
  <c r="N184" i="3"/>
  <c r="L184" i="3"/>
  <c r="B184" i="3"/>
  <c r="X183" i="3"/>
  <c r="Z183" i="3" s="1"/>
  <c r="L183" i="3"/>
  <c r="N183" i="3" s="1"/>
  <c r="J183" i="3"/>
  <c r="B183" i="3"/>
  <c r="T182" i="3"/>
  <c r="P182" i="3"/>
  <c r="H182" i="3"/>
  <c r="D182" i="3"/>
  <c r="B182" i="3"/>
  <c r="Z181" i="3"/>
  <c r="X181" i="3"/>
  <c r="L181" i="3"/>
  <c r="N181" i="3" s="1"/>
  <c r="B181" i="3"/>
  <c r="Z180" i="3"/>
  <c r="X180" i="3"/>
  <c r="L180" i="3"/>
  <c r="N180" i="3" s="1"/>
  <c r="B180" i="3"/>
  <c r="Z179" i="3"/>
  <c r="X179" i="3"/>
  <c r="V179" i="3"/>
  <c r="N179" i="3"/>
  <c r="L179" i="3"/>
  <c r="B179" i="3"/>
  <c r="T178" i="3"/>
  <c r="P178" i="3"/>
  <c r="X178" i="3" s="1"/>
  <c r="Z178" i="3" s="1"/>
  <c r="H178" i="3"/>
  <c r="D178" i="3"/>
  <c r="L178" i="3" s="1"/>
  <c r="N178" i="3" s="1"/>
  <c r="B178" i="3"/>
  <c r="X177" i="3"/>
  <c r="Z177" i="3" s="1"/>
  <c r="N177" i="3"/>
  <c r="L177" i="3"/>
  <c r="B177" i="3"/>
  <c r="X176" i="3"/>
  <c r="T176" i="3"/>
  <c r="Z176" i="3" s="1"/>
  <c r="P176" i="3"/>
  <c r="L176" i="3"/>
  <c r="N176" i="3" s="1"/>
  <c r="H176" i="3"/>
  <c r="D176" i="3"/>
  <c r="B176" i="3"/>
  <c r="X175" i="3"/>
  <c r="Z175" i="3" s="1"/>
  <c r="L175" i="3"/>
  <c r="N175" i="3" s="1"/>
  <c r="J175" i="3"/>
  <c r="B175" i="3"/>
  <c r="Z174" i="3"/>
  <c r="X174" i="3"/>
  <c r="N174" i="3"/>
  <c r="L174" i="3"/>
  <c r="B174" i="3"/>
  <c r="Z173" i="3"/>
  <c r="X173" i="3"/>
  <c r="T173" i="3"/>
  <c r="P173" i="3"/>
  <c r="H173" i="3"/>
  <c r="D173" i="3"/>
  <c r="L173" i="3" s="1"/>
  <c r="B173" i="3"/>
  <c r="Z172" i="3"/>
  <c r="X172" i="3"/>
  <c r="L172" i="3"/>
  <c r="N172" i="3" s="1"/>
  <c r="B172" i="3"/>
  <c r="X171" i="3"/>
  <c r="V171" i="3"/>
  <c r="T171" i="3"/>
  <c r="Z171" i="3" s="1"/>
  <c r="P171" i="3"/>
  <c r="H171" i="3"/>
  <c r="N171" i="3" s="1"/>
  <c r="D171" i="3"/>
  <c r="L171" i="3" s="1"/>
  <c r="B171" i="3"/>
  <c r="Z170" i="3"/>
  <c r="X170" i="3"/>
  <c r="N170" i="3"/>
  <c r="L170" i="3"/>
  <c r="B170" i="3"/>
  <c r="Z169" i="3"/>
  <c r="X169" i="3"/>
  <c r="N169" i="3"/>
  <c r="L169" i="3"/>
  <c r="B169" i="3"/>
  <c r="X168" i="3"/>
  <c r="Z168" i="3" s="1"/>
  <c r="N168" i="3"/>
  <c r="L168" i="3"/>
  <c r="B168" i="3"/>
  <c r="X167" i="3"/>
  <c r="Z167" i="3" s="1"/>
  <c r="N167" i="3"/>
  <c r="L167" i="3"/>
  <c r="B167" i="3"/>
  <c r="Z166" i="3"/>
  <c r="X166" i="3"/>
  <c r="N166" i="3"/>
  <c r="L166" i="3"/>
  <c r="B166" i="3"/>
  <c r="X165" i="3"/>
  <c r="Z165" i="3" s="1"/>
  <c r="N165" i="3"/>
  <c r="L165" i="3"/>
  <c r="B165" i="3"/>
  <c r="X164" i="3"/>
  <c r="Z164" i="3" s="1"/>
  <c r="N164" i="3"/>
  <c r="L164" i="3"/>
  <c r="B164" i="3"/>
  <c r="Z163" i="3"/>
  <c r="X163" i="3"/>
  <c r="N163" i="3"/>
  <c r="L163" i="3"/>
  <c r="B163" i="3"/>
  <c r="X162" i="3"/>
  <c r="Z162" i="3" s="1"/>
  <c r="N162" i="3"/>
  <c r="L162" i="3"/>
  <c r="B162" i="3"/>
  <c r="X161" i="3"/>
  <c r="Z161" i="3" s="1"/>
  <c r="N161" i="3"/>
  <c r="L161" i="3"/>
  <c r="B161" i="3"/>
  <c r="X160" i="3"/>
  <c r="T160" i="3"/>
  <c r="Z160" i="3" s="1"/>
  <c r="P160" i="3"/>
  <c r="L160" i="3"/>
  <c r="N160" i="3" s="1"/>
  <c r="H160" i="3"/>
  <c r="D160" i="3"/>
  <c r="B160" i="3"/>
  <c r="X159" i="3"/>
  <c r="Z159" i="3" s="1"/>
  <c r="L159" i="3"/>
  <c r="N159" i="3" s="1"/>
  <c r="J159" i="3"/>
  <c r="B159" i="3"/>
  <c r="X158" i="3"/>
  <c r="Z158" i="3" s="1"/>
  <c r="N158" i="3"/>
  <c r="L158" i="3"/>
  <c r="B158" i="3"/>
  <c r="Z157" i="3"/>
  <c r="X157" i="3"/>
  <c r="N157" i="3"/>
  <c r="L157" i="3"/>
  <c r="B157" i="3"/>
  <c r="Z156" i="3"/>
  <c r="X156" i="3"/>
  <c r="V156" i="3"/>
  <c r="N156" i="3"/>
  <c r="L156" i="3"/>
  <c r="B156" i="3"/>
  <c r="Z155" i="3"/>
  <c r="X155" i="3"/>
  <c r="N155" i="3"/>
  <c r="L155" i="3"/>
  <c r="J155" i="3"/>
  <c r="B155" i="3"/>
  <c r="X154" i="3"/>
  <c r="Z154" i="3" s="1"/>
  <c r="N154" i="3"/>
  <c r="L154" i="3"/>
  <c r="B154" i="3"/>
  <c r="Z153" i="3"/>
  <c r="X153" i="3"/>
  <c r="N153" i="3"/>
  <c r="L153" i="3"/>
  <c r="B153" i="3"/>
  <c r="Z152" i="3"/>
  <c r="X152" i="3"/>
  <c r="V152" i="3"/>
  <c r="N152" i="3"/>
  <c r="L152" i="3"/>
  <c r="B152" i="3"/>
  <c r="X151" i="3"/>
  <c r="Z151" i="3" s="1"/>
  <c r="L151" i="3"/>
  <c r="N151" i="3" s="1"/>
  <c r="J151" i="3"/>
  <c r="B151" i="3"/>
  <c r="X150" i="3"/>
  <c r="Z150" i="3" s="1"/>
  <c r="N150" i="3"/>
  <c r="L150" i="3"/>
  <c r="B150" i="3"/>
  <c r="Z149" i="3"/>
  <c r="X149" i="3"/>
  <c r="T149" i="3"/>
  <c r="P149" i="3"/>
  <c r="H149" i="3"/>
  <c r="D149" i="3"/>
  <c r="L149" i="3" s="1"/>
  <c r="B149" i="3"/>
  <c r="T148" i="3"/>
  <c r="P148" i="3"/>
  <c r="X148" i="3" s="1"/>
  <c r="Z148" i="3" s="1"/>
  <c r="H148" i="3"/>
  <c r="D148" i="3"/>
  <c r="L148" i="3" s="1"/>
  <c r="N148" i="3" s="1"/>
  <c r="Z144" i="3"/>
  <c r="X144" i="3"/>
  <c r="N144" i="3"/>
  <c r="L144" i="3"/>
  <c r="B144" i="3"/>
  <c r="Z143" i="3"/>
  <c r="X143" i="3"/>
  <c r="V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B140" i="3"/>
  <c r="Z139" i="3"/>
  <c r="X139" i="3"/>
  <c r="V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V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Z131" i="3"/>
  <c r="X131" i="3"/>
  <c r="V131" i="3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V127" i="3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V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V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V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V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B108" i="3"/>
  <c r="Z107" i="3"/>
  <c r="X107" i="3"/>
  <c r="V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Z103" i="3"/>
  <c r="X103" i="3"/>
  <c r="V103" i="3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Z100" i="3"/>
  <c r="X100" i="3"/>
  <c r="L100" i="3"/>
  <c r="N100" i="3" s="1"/>
  <c r="B100" i="3"/>
  <c r="X99" i="3"/>
  <c r="V99" i="3"/>
  <c r="T99" i="3"/>
  <c r="Z99" i="3" s="1"/>
  <c r="P99" i="3"/>
  <c r="H99" i="3"/>
  <c r="N99" i="3" s="1"/>
  <c r="D99" i="3"/>
  <c r="L99" i="3" s="1"/>
  <c r="Z97" i="3"/>
  <c r="P97" i="3"/>
  <c r="X97" i="3" s="1"/>
  <c r="N97" i="3"/>
  <c r="D97" i="3"/>
  <c r="L97" i="3" s="1"/>
  <c r="B97" i="3"/>
  <c r="Z96" i="3"/>
  <c r="P96" i="3"/>
  <c r="X96" i="3" s="1"/>
  <c r="N96" i="3"/>
  <c r="L96" i="3"/>
  <c r="D96" i="3"/>
  <c r="B96" i="3"/>
  <c r="Z95" i="3"/>
  <c r="X95" i="3"/>
  <c r="P95" i="3"/>
  <c r="N95" i="3"/>
  <c r="L95" i="3"/>
  <c r="D95" i="3"/>
  <c r="B95" i="3"/>
  <c r="Z94" i="3"/>
  <c r="P94" i="3"/>
  <c r="X94" i="3" s="1"/>
  <c r="N94" i="3"/>
  <c r="D94" i="3"/>
  <c r="L94" i="3" s="1"/>
  <c r="B94" i="3"/>
  <c r="Z93" i="3"/>
  <c r="P93" i="3"/>
  <c r="X93" i="3" s="1"/>
  <c r="N93" i="3"/>
  <c r="D93" i="3"/>
  <c r="L93" i="3" s="1"/>
  <c r="B93" i="3"/>
  <c r="Z92" i="3"/>
  <c r="P92" i="3"/>
  <c r="X92" i="3" s="1"/>
  <c r="N92" i="3"/>
  <c r="L92" i="3"/>
  <c r="D92" i="3"/>
  <c r="B92" i="3"/>
  <c r="Z91" i="3"/>
  <c r="P91" i="3"/>
  <c r="X91" i="3" s="1"/>
  <c r="N91" i="3"/>
  <c r="D91" i="3"/>
  <c r="L91" i="3" s="1"/>
  <c r="B91" i="3"/>
  <c r="Z90" i="3"/>
  <c r="X90" i="3"/>
  <c r="P90" i="3"/>
  <c r="N90" i="3"/>
  <c r="D90" i="3"/>
  <c r="L90" i="3" s="1"/>
  <c r="B90" i="3"/>
  <c r="Z89" i="3"/>
  <c r="X89" i="3"/>
  <c r="P89" i="3"/>
  <c r="N89" i="3"/>
  <c r="D89" i="3"/>
  <c r="L89" i="3" s="1"/>
  <c r="B89" i="3"/>
  <c r="Z88" i="3"/>
  <c r="P88" i="3"/>
  <c r="X88" i="3" s="1"/>
  <c r="N88" i="3"/>
  <c r="D88" i="3"/>
  <c r="L88" i="3" s="1"/>
  <c r="B88" i="3"/>
  <c r="Z87" i="3"/>
  <c r="X87" i="3"/>
  <c r="P87" i="3"/>
  <c r="N87" i="3"/>
  <c r="L87" i="3"/>
  <c r="D87" i="3"/>
  <c r="B87" i="3"/>
  <c r="Z86" i="3"/>
  <c r="X86" i="3"/>
  <c r="P86" i="3"/>
  <c r="N86" i="3"/>
  <c r="L86" i="3"/>
  <c r="D86" i="3"/>
  <c r="B86" i="3"/>
  <c r="Z85" i="3"/>
  <c r="P85" i="3"/>
  <c r="X85" i="3" s="1"/>
  <c r="N85" i="3"/>
  <c r="D85" i="3"/>
  <c r="L85" i="3" s="1"/>
  <c r="B85" i="3"/>
  <c r="Z84" i="3"/>
  <c r="P84" i="3"/>
  <c r="X84" i="3" s="1"/>
  <c r="N84" i="3"/>
  <c r="L84" i="3"/>
  <c r="D84" i="3"/>
  <c r="B84" i="3"/>
  <c r="Z83" i="3"/>
  <c r="X83" i="3"/>
  <c r="P83" i="3"/>
  <c r="N83" i="3"/>
  <c r="L83" i="3"/>
  <c r="D83" i="3"/>
  <c r="B83" i="3"/>
  <c r="Z82" i="3"/>
  <c r="P82" i="3"/>
  <c r="X82" i="3" s="1"/>
  <c r="N82" i="3"/>
  <c r="D82" i="3"/>
  <c r="L82" i="3" s="1"/>
  <c r="B82" i="3"/>
  <c r="Z81" i="3"/>
  <c r="P81" i="3"/>
  <c r="X81" i="3" s="1"/>
  <c r="N81" i="3"/>
  <c r="D81" i="3"/>
  <c r="L81" i="3" s="1"/>
  <c r="B81" i="3"/>
  <c r="Z80" i="3"/>
  <c r="P80" i="3"/>
  <c r="X80" i="3" s="1"/>
  <c r="N80" i="3"/>
  <c r="L80" i="3"/>
  <c r="D80" i="3"/>
  <c r="B80" i="3"/>
  <c r="Z79" i="3"/>
  <c r="P79" i="3"/>
  <c r="X79" i="3" s="1"/>
  <c r="N79" i="3"/>
  <c r="D79" i="3"/>
  <c r="L79" i="3" s="1"/>
  <c r="B79" i="3"/>
  <c r="Z78" i="3"/>
  <c r="X78" i="3"/>
  <c r="P78" i="3"/>
  <c r="N78" i="3"/>
  <c r="D78" i="3"/>
  <c r="L78" i="3" s="1"/>
  <c r="B78" i="3"/>
  <c r="Z77" i="3"/>
  <c r="X77" i="3"/>
  <c r="P77" i="3"/>
  <c r="N77" i="3"/>
  <c r="D77" i="3"/>
  <c r="L77" i="3" s="1"/>
  <c r="B77" i="3"/>
  <c r="Z76" i="3"/>
  <c r="P76" i="3"/>
  <c r="X76" i="3" s="1"/>
  <c r="N76" i="3"/>
  <c r="D76" i="3"/>
  <c r="L76" i="3" s="1"/>
  <c r="B76" i="3"/>
  <c r="Z75" i="3"/>
  <c r="X75" i="3"/>
  <c r="P75" i="3"/>
  <c r="N75" i="3"/>
  <c r="L75" i="3"/>
  <c r="D75" i="3"/>
  <c r="B75" i="3"/>
  <c r="Z74" i="3"/>
  <c r="X74" i="3"/>
  <c r="P74" i="3"/>
  <c r="N74" i="3"/>
  <c r="L74" i="3"/>
  <c r="D74" i="3"/>
  <c r="B74" i="3"/>
  <c r="Z73" i="3"/>
  <c r="P73" i="3"/>
  <c r="X73" i="3" s="1"/>
  <c r="N73" i="3"/>
  <c r="D73" i="3"/>
  <c r="L73" i="3" s="1"/>
  <c r="B73" i="3"/>
  <c r="Z72" i="3"/>
  <c r="P72" i="3"/>
  <c r="X72" i="3" s="1"/>
  <c r="N72" i="3"/>
  <c r="L72" i="3"/>
  <c r="D72" i="3"/>
  <c r="B72" i="3"/>
  <c r="Z71" i="3"/>
  <c r="X71" i="3"/>
  <c r="P71" i="3"/>
  <c r="N71" i="3"/>
  <c r="L71" i="3"/>
  <c r="D71" i="3"/>
  <c r="B71" i="3"/>
  <c r="Z70" i="3"/>
  <c r="P70" i="3"/>
  <c r="X70" i="3" s="1"/>
  <c r="N70" i="3"/>
  <c r="D70" i="3"/>
  <c r="L70" i="3" s="1"/>
  <c r="B70" i="3"/>
  <c r="Z69" i="3"/>
  <c r="P69" i="3"/>
  <c r="X69" i="3" s="1"/>
  <c r="N69" i="3"/>
  <c r="D69" i="3"/>
  <c r="L69" i="3" s="1"/>
  <c r="B69" i="3"/>
  <c r="Z68" i="3"/>
  <c r="P68" i="3"/>
  <c r="X68" i="3" s="1"/>
  <c r="N68" i="3"/>
  <c r="L68" i="3"/>
  <c r="D68" i="3"/>
  <c r="B68" i="3"/>
  <c r="Z67" i="3"/>
  <c r="P67" i="3"/>
  <c r="X67" i="3" s="1"/>
  <c r="N67" i="3"/>
  <c r="D67" i="3"/>
  <c r="L67" i="3" s="1"/>
  <c r="B67" i="3"/>
  <c r="Z66" i="3"/>
  <c r="X66" i="3"/>
  <c r="P66" i="3"/>
  <c r="N66" i="3"/>
  <c r="D66" i="3"/>
  <c r="L66" i="3" s="1"/>
  <c r="B66" i="3"/>
  <c r="Z65" i="3"/>
  <c r="X65" i="3"/>
  <c r="P65" i="3"/>
  <c r="N65" i="3"/>
  <c r="D65" i="3"/>
  <c r="L65" i="3" s="1"/>
  <c r="B65" i="3"/>
  <c r="Z64" i="3"/>
  <c r="P64" i="3"/>
  <c r="X64" i="3" s="1"/>
  <c r="N64" i="3"/>
  <c r="D64" i="3"/>
  <c r="L64" i="3" s="1"/>
  <c r="B64" i="3"/>
  <c r="Z63" i="3"/>
  <c r="X63" i="3"/>
  <c r="P63" i="3"/>
  <c r="N63" i="3"/>
  <c r="L63" i="3"/>
  <c r="D63" i="3"/>
  <c r="B63" i="3"/>
  <c r="Z62" i="3"/>
  <c r="X62" i="3"/>
  <c r="P62" i="3"/>
  <c r="N62" i="3"/>
  <c r="L62" i="3"/>
  <c r="D62" i="3"/>
  <c r="B62" i="3"/>
  <c r="Z61" i="3"/>
  <c r="P61" i="3"/>
  <c r="X61" i="3" s="1"/>
  <c r="N61" i="3"/>
  <c r="D61" i="3"/>
  <c r="L61" i="3" s="1"/>
  <c r="B61" i="3"/>
  <c r="Z60" i="3"/>
  <c r="P60" i="3"/>
  <c r="X60" i="3" s="1"/>
  <c r="N60" i="3"/>
  <c r="L60" i="3"/>
  <c r="D60" i="3"/>
  <c r="B60" i="3"/>
  <c r="Z59" i="3"/>
  <c r="X59" i="3"/>
  <c r="P59" i="3"/>
  <c r="N59" i="3"/>
  <c r="L59" i="3"/>
  <c r="D59" i="3"/>
  <c r="B59" i="3"/>
  <c r="Z58" i="3"/>
  <c r="P58" i="3"/>
  <c r="X58" i="3" s="1"/>
  <c r="N58" i="3"/>
  <c r="D58" i="3"/>
  <c r="L58" i="3" s="1"/>
  <c r="B58" i="3"/>
  <c r="Z57" i="3"/>
  <c r="P57" i="3"/>
  <c r="X57" i="3" s="1"/>
  <c r="N57" i="3"/>
  <c r="D57" i="3"/>
  <c r="L57" i="3" s="1"/>
  <c r="B57" i="3"/>
  <c r="Z56" i="3"/>
  <c r="P56" i="3"/>
  <c r="X56" i="3" s="1"/>
  <c r="N56" i="3"/>
  <c r="L56" i="3"/>
  <c r="D56" i="3"/>
  <c r="B56" i="3"/>
  <c r="Z55" i="3"/>
  <c r="P55" i="3"/>
  <c r="X55" i="3" s="1"/>
  <c r="N55" i="3"/>
  <c r="D55" i="3"/>
  <c r="L55" i="3" s="1"/>
  <c r="B55" i="3"/>
  <c r="Z54" i="3"/>
  <c r="X54" i="3"/>
  <c r="P54" i="3"/>
  <c r="N54" i="3"/>
  <c r="D54" i="3"/>
  <c r="L54" i="3" s="1"/>
  <c r="B54" i="3"/>
  <c r="Z53" i="3"/>
  <c r="X53" i="3"/>
  <c r="P53" i="3"/>
  <c r="N53" i="3"/>
  <c r="D53" i="3"/>
  <c r="L53" i="3" s="1"/>
  <c r="B53" i="3"/>
  <c r="Z52" i="3"/>
  <c r="P52" i="3"/>
  <c r="X52" i="3" s="1"/>
  <c r="N52" i="3"/>
  <c r="D52" i="3"/>
  <c r="L52" i="3" s="1"/>
  <c r="B52" i="3"/>
  <c r="Z51" i="3"/>
  <c r="X51" i="3"/>
  <c r="P51" i="3"/>
  <c r="N51" i="3"/>
  <c r="L51" i="3"/>
  <c r="D51" i="3"/>
  <c r="B51" i="3"/>
  <c r="Z50" i="3"/>
  <c r="X50" i="3"/>
  <c r="P50" i="3"/>
  <c r="N50" i="3"/>
  <c r="L50" i="3"/>
  <c r="D50" i="3"/>
  <c r="B50" i="3"/>
  <c r="Z49" i="3"/>
  <c r="P49" i="3"/>
  <c r="X49" i="3" s="1"/>
  <c r="N49" i="3"/>
  <c r="D49" i="3"/>
  <c r="L49" i="3" s="1"/>
  <c r="B49" i="3"/>
  <c r="Z48" i="3"/>
  <c r="P48" i="3"/>
  <c r="X48" i="3" s="1"/>
  <c r="N48" i="3"/>
  <c r="L48" i="3"/>
  <c r="D48" i="3"/>
  <c r="B48" i="3"/>
  <c r="Z47" i="3"/>
  <c r="X47" i="3"/>
  <c r="P47" i="3"/>
  <c r="N47" i="3"/>
  <c r="L47" i="3"/>
  <c r="D47" i="3"/>
  <c r="B47" i="3"/>
  <c r="Z46" i="3"/>
  <c r="P46" i="3"/>
  <c r="X46" i="3" s="1"/>
  <c r="N46" i="3"/>
  <c r="D46" i="3"/>
  <c r="L46" i="3" s="1"/>
  <c r="B46" i="3"/>
  <c r="Z45" i="3"/>
  <c r="P45" i="3"/>
  <c r="X45" i="3" s="1"/>
  <c r="N45" i="3"/>
  <c r="D45" i="3"/>
  <c r="L45" i="3" s="1"/>
  <c r="B45" i="3"/>
  <c r="Z44" i="3"/>
  <c r="P44" i="3"/>
  <c r="X44" i="3" s="1"/>
  <c r="N44" i="3"/>
  <c r="L44" i="3"/>
  <c r="D44" i="3"/>
  <c r="B44" i="3"/>
  <c r="P43" i="3"/>
  <c r="X43" i="3" s="1"/>
  <c r="Z43" i="3" s="1"/>
  <c r="D43" i="3"/>
  <c r="L43" i="3" s="1"/>
  <c r="N43" i="3" s="1"/>
  <c r="B43" i="3"/>
  <c r="Z42" i="3"/>
  <c r="X42" i="3"/>
  <c r="P42" i="3"/>
  <c r="N42" i="3"/>
  <c r="D42" i="3"/>
  <c r="L42" i="3" s="1"/>
  <c r="B42" i="3"/>
  <c r="Z41" i="3"/>
  <c r="X41" i="3"/>
  <c r="P41" i="3"/>
  <c r="N41" i="3"/>
  <c r="D41" i="3"/>
  <c r="L41" i="3" s="1"/>
  <c r="B41" i="3"/>
  <c r="Z40" i="3"/>
  <c r="P40" i="3"/>
  <c r="X40" i="3" s="1"/>
  <c r="N40" i="3"/>
  <c r="D40" i="3"/>
  <c r="L40" i="3" s="1"/>
  <c r="B40" i="3"/>
  <c r="Z39" i="3"/>
  <c r="X39" i="3"/>
  <c r="P39" i="3"/>
  <c r="N39" i="3"/>
  <c r="L39" i="3"/>
  <c r="D39" i="3"/>
  <c r="B39" i="3"/>
  <c r="Z38" i="3"/>
  <c r="X38" i="3"/>
  <c r="P38" i="3"/>
  <c r="N38" i="3"/>
  <c r="L38" i="3"/>
  <c r="D38" i="3"/>
  <c r="B38" i="3"/>
  <c r="Z37" i="3"/>
  <c r="P37" i="3"/>
  <c r="X37" i="3" s="1"/>
  <c r="N37" i="3"/>
  <c r="D37" i="3"/>
  <c r="L37" i="3" s="1"/>
  <c r="B37" i="3"/>
  <c r="Z36" i="3"/>
  <c r="P36" i="3"/>
  <c r="X36" i="3" s="1"/>
  <c r="N36" i="3"/>
  <c r="L36" i="3"/>
  <c r="D36" i="3"/>
  <c r="B36" i="3"/>
  <c r="Z35" i="3"/>
  <c r="X35" i="3"/>
  <c r="P35" i="3"/>
  <c r="N35" i="3"/>
  <c r="L35" i="3"/>
  <c r="D35" i="3"/>
  <c r="B35" i="3"/>
  <c r="Z34" i="3"/>
  <c r="P34" i="3"/>
  <c r="X34" i="3" s="1"/>
  <c r="N34" i="3"/>
  <c r="D34" i="3"/>
  <c r="L34" i="3" s="1"/>
  <c r="B34" i="3"/>
  <c r="Z33" i="3"/>
  <c r="P33" i="3"/>
  <c r="X33" i="3" s="1"/>
  <c r="N33" i="3"/>
  <c r="D33" i="3"/>
  <c r="L33" i="3" s="1"/>
  <c r="B33" i="3"/>
  <c r="Z32" i="3"/>
  <c r="P32" i="3"/>
  <c r="X32" i="3" s="1"/>
  <c r="N32" i="3"/>
  <c r="L32" i="3"/>
  <c r="D32" i="3"/>
  <c r="B32" i="3"/>
  <c r="Z31" i="3"/>
  <c r="P31" i="3"/>
  <c r="X31" i="3" s="1"/>
  <c r="N31" i="3"/>
  <c r="D31" i="3"/>
  <c r="L31" i="3" s="1"/>
  <c r="B31" i="3"/>
  <c r="Z30" i="3"/>
  <c r="X30" i="3"/>
  <c r="P30" i="3"/>
  <c r="N30" i="3"/>
  <c r="D30" i="3"/>
  <c r="L30" i="3" s="1"/>
  <c r="B30" i="3"/>
  <c r="Z29" i="3"/>
  <c r="X29" i="3"/>
  <c r="P29" i="3"/>
  <c r="N29" i="3"/>
  <c r="D29" i="3"/>
  <c r="L29" i="3" s="1"/>
  <c r="B29" i="3"/>
  <c r="Z28" i="3"/>
  <c r="P28" i="3"/>
  <c r="X28" i="3" s="1"/>
  <c r="N28" i="3"/>
  <c r="D28" i="3"/>
  <c r="L28" i="3" s="1"/>
  <c r="B28" i="3"/>
  <c r="Z27" i="3"/>
  <c r="X27" i="3"/>
  <c r="P27" i="3"/>
  <c r="N27" i="3"/>
  <c r="L27" i="3"/>
  <c r="D27" i="3"/>
  <c r="B27" i="3"/>
  <c r="Z26" i="3"/>
  <c r="X26" i="3"/>
  <c r="P26" i="3"/>
  <c r="N26" i="3"/>
  <c r="L26" i="3"/>
  <c r="D26" i="3"/>
  <c r="B26" i="3"/>
  <c r="Z25" i="3"/>
  <c r="P25" i="3"/>
  <c r="X25" i="3" s="1"/>
  <c r="N25" i="3"/>
  <c r="D25" i="3"/>
  <c r="L25" i="3" s="1"/>
  <c r="B25" i="3"/>
  <c r="Z24" i="3"/>
  <c r="P24" i="3"/>
  <c r="X24" i="3" s="1"/>
  <c r="N24" i="3"/>
  <c r="L24" i="3"/>
  <c r="D24" i="3"/>
  <c r="B24" i="3"/>
  <c r="Z23" i="3"/>
  <c r="X23" i="3"/>
  <c r="P23" i="3"/>
  <c r="N23" i="3"/>
  <c r="L23" i="3"/>
  <c r="D23" i="3"/>
  <c r="B23" i="3"/>
  <c r="Z22" i="3"/>
  <c r="P22" i="3"/>
  <c r="X22" i="3" s="1"/>
  <c r="N22" i="3"/>
  <c r="D22" i="3"/>
  <c r="L22" i="3" s="1"/>
  <c r="B22" i="3"/>
  <c r="Z21" i="3"/>
  <c r="P21" i="3"/>
  <c r="X21" i="3" s="1"/>
  <c r="N21" i="3"/>
  <c r="D21" i="3"/>
  <c r="L21" i="3" s="1"/>
  <c r="B21" i="3"/>
  <c r="Z20" i="3"/>
  <c r="P20" i="3"/>
  <c r="X20" i="3" s="1"/>
  <c r="N20" i="3"/>
  <c r="L20" i="3"/>
  <c r="D20" i="3"/>
  <c r="B20" i="3"/>
  <c r="Z19" i="3"/>
  <c r="P19" i="3"/>
  <c r="X19" i="3" s="1"/>
  <c r="N19" i="3"/>
  <c r="D19" i="3"/>
  <c r="L19" i="3" s="1"/>
  <c r="B19" i="3"/>
  <c r="Z18" i="3"/>
  <c r="X18" i="3"/>
  <c r="P18" i="3"/>
  <c r="N18" i="3"/>
  <c r="D18" i="3"/>
  <c r="L18" i="3" s="1"/>
  <c r="B18" i="3"/>
  <c r="Z17" i="3"/>
  <c r="X17" i="3"/>
  <c r="P17" i="3"/>
  <c r="N17" i="3"/>
  <c r="D17" i="3"/>
  <c r="L17" i="3" s="1"/>
  <c r="B17" i="3"/>
  <c r="Z16" i="3"/>
  <c r="P16" i="3"/>
  <c r="X16" i="3" s="1"/>
  <c r="N16" i="3"/>
  <c r="D16" i="3"/>
  <c r="L16" i="3" s="1"/>
  <c r="B16" i="3"/>
  <c r="Z15" i="3"/>
  <c r="X15" i="3"/>
  <c r="P15" i="3"/>
  <c r="N15" i="3"/>
  <c r="L15" i="3"/>
  <c r="D15" i="3"/>
  <c r="B15" i="3"/>
  <c r="Z14" i="3"/>
  <c r="X14" i="3"/>
  <c r="P14" i="3"/>
  <c r="N14" i="3"/>
  <c r="L14" i="3"/>
  <c r="D14" i="3"/>
  <c r="B14" i="3"/>
  <c r="P13" i="3"/>
  <c r="X13" i="3" s="1"/>
  <c r="Z13" i="3" s="1"/>
  <c r="D13" i="3"/>
  <c r="L13" i="3" s="1"/>
  <c r="N13" i="3" s="1"/>
  <c r="B13" i="3"/>
  <c r="T12" i="3"/>
  <c r="H12" i="3"/>
  <c r="J260" i="3" s="1"/>
  <c r="D12" i="3"/>
  <c r="F259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T24" i="110"/>
  <c r="T22" i="110"/>
  <c r="P12" i="110"/>
  <c r="P29" i="110"/>
  <c r="H34" i="112"/>
  <c r="P15" i="112"/>
  <c r="P21" i="111"/>
  <c r="H33" i="112"/>
  <c r="P25" i="110"/>
  <c r="D6" i="112"/>
  <c r="H29" i="112"/>
  <c r="T15" i="111"/>
  <c r="T21" i="110"/>
  <c r="H25" i="112"/>
  <c r="P13" i="111"/>
  <c r="H12" i="111"/>
  <c r="P34" i="110"/>
  <c r="P33" i="110"/>
  <c r="T24" i="53"/>
  <c r="T22" i="53"/>
  <c r="P12" i="53"/>
  <c r="T34" i="52"/>
  <c r="T33" i="52"/>
  <c r="T29" i="52"/>
  <c r="T25" i="52"/>
  <c r="B16" i="52"/>
  <c r="D15" i="52"/>
  <c r="T12" i="52"/>
  <c r="B39" i="50"/>
  <c r="H24" i="50"/>
  <c r="H22" i="50"/>
  <c r="H13" i="50"/>
  <c r="D4" i="50"/>
  <c r="H34" i="49"/>
  <c r="H33" i="49"/>
  <c r="H29" i="49"/>
  <c r="H25" i="49"/>
  <c r="P15" i="49"/>
  <c r="D5" i="49"/>
  <c r="P34" i="53"/>
  <c r="P33" i="53"/>
  <c r="P29" i="53"/>
  <c r="P25" i="53"/>
  <c r="T21" i="53"/>
  <c r="T24" i="52"/>
  <c r="T22" i="52"/>
  <c r="P12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24" i="53"/>
  <c r="P22" i="53"/>
  <c r="T20" i="53"/>
  <c r="T16" i="53"/>
  <c r="T13" i="53"/>
  <c r="P34" i="52"/>
  <c r="P33" i="52"/>
  <c r="P29" i="52"/>
  <c r="P25" i="52"/>
  <c r="T21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21" i="53"/>
  <c r="T15" i="53"/>
  <c r="P13" i="53"/>
  <c r="H12" i="53"/>
  <c r="P24" i="52"/>
  <c r="P22" i="52"/>
  <c r="T20" i="52"/>
  <c r="T16" i="52"/>
  <c r="T13" i="52"/>
  <c r="B22" i="50"/>
  <c r="D21" i="50"/>
  <c r="H15" i="50"/>
  <c r="B25" i="49"/>
  <c r="D24" i="49"/>
  <c r="D22" i="49"/>
  <c r="H20" i="49"/>
  <c r="H16" i="49"/>
  <c r="B13" i="49"/>
  <c r="P20" i="53"/>
  <c r="P16" i="53"/>
  <c r="D12" i="53"/>
  <c r="P21" i="52"/>
  <c r="T15" i="52"/>
  <c r="P13" i="52"/>
  <c r="H12" i="52"/>
  <c r="B21" i="50"/>
  <c r="D20" i="50"/>
  <c r="D16" i="50"/>
  <c r="B22" i="49"/>
  <c r="D21" i="49"/>
  <c r="H15" i="49"/>
  <c r="H34" i="53"/>
  <c r="H33" i="53"/>
  <c r="H29" i="53"/>
  <c r="H25" i="53"/>
  <c r="P15" i="53"/>
  <c r="D5" i="53"/>
  <c r="P20" i="52"/>
  <c r="P16" i="52"/>
  <c r="D12" i="52"/>
  <c r="T34" i="50"/>
  <c r="T33" i="50"/>
  <c r="T29" i="50"/>
  <c r="T25" i="50"/>
  <c r="B16" i="50"/>
  <c r="D15" i="50"/>
  <c r="T12" i="50"/>
  <c r="B21" i="49"/>
  <c r="D20" i="49"/>
  <c r="D16" i="49"/>
  <c r="B39" i="53"/>
  <c r="H24" i="53"/>
  <c r="H22" i="53"/>
  <c r="H13" i="53"/>
  <c r="D4" i="53"/>
  <c r="H34" i="52"/>
  <c r="H33" i="52"/>
  <c r="H29" i="52"/>
  <c r="H25" i="52"/>
  <c r="P15" i="52"/>
  <c r="D5" i="52"/>
  <c r="T24" i="50"/>
  <c r="T22" i="50"/>
  <c r="P12" i="50"/>
  <c r="T34" i="49"/>
  <c r="T33" i="49"/>
  <c r="T29" i="49"/>
  <c r="T25" i="49"/>
  <c r="B16" i="49"/>
  <c r="D15" i="49"/>
  <c r="T12" i="49"/>
  <c r="B38" i="53"/>
  <c r="D34" i="53"/>
  <c r="D33" i="53"/>
  <c r="D29" i="53"/>
  <c r="D25" i="53"/>
  <c r="H21" i="53"/>
  <c r="D13" i="53"/>
  <c r="B39" i="52"/>
  <c r="H24" i="52"/>
  <c r="H22" i="52"/>
  <c r="H13" i="52"/>
  <c r="D4" i="52"/>
  <c r="P34" i="50"/>
  <c r="P33" i="50"/>
  <c r="P29" i="50"/>
  <c r="P25" i="50"/>
  <c r="T21" i="50"/>
  <c r="T24" i="49"/>
  <c r="T22" i="49"/>
  <c r="P12" i="49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P24" i="50"/>
  <c r="P22" i="50"/>
  <c r="T20" i="50"/>
  <c r="T16" i="50"/>
  <c r="T13" i="50"/>
  <c r="P34" i="49"/>
  <c r="P33" i="49"/>
  <c r="P29" i="49"/>
  <c r="P25" i="49"/>
  <c r="T21" i="49"/>
  <c r="T34" i="53"/>
  <c r="T33" i="53"/>
  <c r="T29" i="53"/>
  <c r="T25" i="53"/>
  <c r="B16" i="53"/>
  <c r="D15" i="53"/>
  <c r="T12" i="53"/>
  <c r="B21" i="52"/>
  <c r="D20" i="52"/>
  <c r="D16" i="52"/>
  <c r="B21" i="53"/>
  <c r="P21" i="50"/>
  <c r="T15" i="50"/>
  <c r="T24" i="47"/>
  <c r="T22" i="47"/>
  <c r="P12" i="47"/>
  <c r="T34" i="46"/>
  <c r="T33" i="46"/>
  <c r="T29" i="46"/>
  <c r="T25" i="46"/>
  <c r="B16" i="46"/>
  <c r="D15" i="46"/>
  <c r="T12" i="46"/>
  <c r="B39" i="44"/>
  <c r="H24" i="44"/>
  <c r="H22" i="44"/>
  <c r="H13" i="44"/>
  <c r="D4" i="44"/>
  <c r="H34" i="43"/>
  <c r="H33" i="43"/>
  <c r="H29" i="43"/>
  <c r="H25" i="43"/>
  <c r="P15" i="43"/>
  <c r="D5" i="43"/>
  <c r="B25" i="52"/>
  <c r="H16" i="52"/>
  <c r="P21" i="49"/>
  <c r="T15" i="49"/>
  <c r="P34" i="47"/>
  <c r="P33" i="47"/>
  <c r="P29" i="47"/>
  <c r="P25" i="47"/>
  <c r="T21" i="47"/>
  <c r="T24" i="46"/>
  <c r="T22" i="46"/>
  <c r="P12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D20" i="53"/>
  <c r="H34" i="50"/>
  <c r="P15" i="50"/>
  <c r="P24" i="47"/>
  <c r="P22" i="47"/>
  <c r="T20" i="47"/>
  <c r="T16" i="47"/>
  <c r="T13" i="47"/>
  <c r="P34" i="46"/>
  <c r="P33" i="46"/>
  <c r="P29" i="46"/>
  <c r="P25" i="46"/>
  <c r="T21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D24" i="52"/>
  <c r="P13" i="50"/>
  <c r="T20" i="49"/>
  <c r="T13" i="49"/>
  <c r="P21" i="47"/>
  <c r="T15" i="47"/>
  <c r="P13" i="47"/>
  <c r="H12" i="47"/>
  <c r="P24" i="46"/>
  <c r="P22" i="46"/>
  <c r="T20" i="46"/>
  <c r="T16" i="46"/>
  <c r="T13" i="46"/>
  <c r="B22" i="44"/>
  <c r="D21" i="44"/>
  <c r="H15" i="44"/>
  <c r="B25" i="43"/>
  <c r="D24" i="43"/>
  <c r="D22" i="43"/>
  <c r="H20" i="43"/>
  <c r="H16" i="43"/>
  <c r="B13" i="43"/>
  <c r="H15" i="52"/>
  <c r="P20" i="50"/>
  <c r="P13" i="49"/>
  <c r="P20" i="47"/>
  <c r="P16" i="47"/>
  <c r="D12" i="47"/>
  <c r="P21" i="46"/>
  <c r="T15" i="46"/>
  <c r="P13" i="46"/>
  <c r="H12" i="46"/>
  <c r="B21" i="44"/>
  <c r="D20" i="44"/>
  <c r="D16" i="44"/>
  <c r="B22" i="43"/>
  <c r="D21" i="43"/>
  <c r="H15" i="43"/>
  <c r="D22" i="52"/>
  <c r="B13" i="52"/>
  <c r="H33" i="50"/>
  <c r="H25" i="50"/>
  <c r="P20" i="49"/>
  <c r="H34" i="47"/>
  <c r="H33" i="47"/>
  <c r="H29" i="47"/>
  <c r="H25" i="47"/>
  <c r="P15" i="47"/>
  <c r="D5" i="47"/>
  <c r="P20" i="46"/>
  <c r="P16" i="46"/>
  <c r="D12" i="46"/>
  <c r="T34" i="44"/>
  <c r="T33" i="44"/>
  <c r="T29" i="44"/>
  <c r="T25" i="44"/>
  <c r="B16" i="44"/>
  <c r="D15" i="44"/>
  <c r="T12" i="44"/>
  <c r="B21" i="43"/>
  <c r="D20" i="43"/>
  <c r="D16" i="43"/>
  <c r="D16" i="53"/>
  <c r="B22" i="52"/>
  <c r="H12" i="50"/>
  <c r="P24" i="49"/>
  <c r="H24" i="47"/>
  <c r="H22" i="47"/>
  <c r="H13" i="47"/>
  <c r="D4" i="47"/>
  <c r="H34" i="46"/>
  <c r="H33" i="46"/>
  <c r="H29" i="46"/>
  <c r="H25" i="46"/>
  <c r="P15" i="46"/>
  <c r="D5" i="46"/>
  <c r="T24" i="44"/>
  <c r="T22" i="44"/>
  <c r="P12" i="44"/>
  <c r="T34" i="43"/>
  <c r="T33" i="43"/>
  <c r="T29" i="43"/>
  <c r="T25" i="43"/>
  <c r="B16" i="43"/>
  <c r="D15" i="43"/>
  <c r="T12" i="43"/>
  <c r="H15" i="53"/>
  <c r="D12" i="50"/>
  <c r="H12" i="49"/>
  <c r="B39" i="47"/>
  <c r="D34" i="47"/>
  <c r="D33" i="47"/>
  <c r="D29" i="47"/>
  <c r="D25" i="47"/>
  <c r="H21" i="47"/>
  <c r="D13" i="47"/>
  <c r="B39" i="46"/>
  <c r="H24" i="46"/>
  <c r="H22" i="46"/>
  <c r="H13" i="46"/>
  <c r="D4" i="46"/>
  <c r="P34" i="44"/>
  <c r="P33" i="44"/>
  <c r="P29" i="44"/>
  <c r="P25" i="44"/>
  <c r="T21" i="44"/>
  <c r="T24" i="43"/>
  <c r="T22" i="43"/>
  <c r="P12" i="43"/>
  <c r="D21" i="52"/>
  <c r="D5" i="50"/>
  <c r="D12" i="49"/>
  <c r="B38" i="47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P24" i="44"/>
  <c r="P22" i="44"/>
  <c r="T20" i="44"/>
  <c r="T16" i="44"/>
  <c r="T13" i="44"/>
  <c r="P34" i="43"/>
  <c r="P33" i="43"/>
  <c r="P29" i="43"/>
  <c r="P25" i="43"/>
  <c r="T21" i="43"/>
  <c r="D21" i="53"/>
  <c r="H29" i="50"/>
  <c r="P16" i="49"/>
  <c r="T34" i="47"/>
  <c r="T33" i="47"/>
  <c r="T29" i="47"/>
  <c r="T25" i="47"/>
  <c r="B16" i="47"/>
  <c r="D15" i="47"/>
  <c r="T12" i="47"/>
  <c r="B21" i="46"/>
  <c r="D20" i="46"/>
  <c r="D16" i="46"/>
  <c r="H34" i="44"/>
  <c r="H33" i="44"/>
  <c r="H29" i="44"/>
  <c r="H25" i="44"/>
  <c r="P15" i="44"/>
  <c r="D5" i="44"/>
  <c r="P13" i="44"/>
  <c r="P21" i="41"/>
  <c r="T15" i="41"/>
  <c r="P13" i="41"/>
  <c r="H12" i="41"/>
  <c r="P24" i="40"/>
  <c r="P22" i="40"/>
  <c r="T20" i="40"/>
  <c r="T16" i="40"/>
  <c r="T13" i="40"/>
  <c r="D21" i="47"/>
  <c r="P21" i="43"/>
  <c r="T15" i="43"/>
  <c r="P20" i="41"/>
  <c r="P16" i="41"/>
  <c r="D12" i="41"/>
  <c r="P21" i="40"/>
  <c r="T15" i="40"/>
  <c r="P13" i="40"/>
  <c r="H12" i="40"/>
  <c r="B22" i="38"/>
  <c r="D21" i="38"/>
  <c r="B22" i="53"/>
  <c r="B21" i="47"/>
  <c r="P21" i="44"/>
  <c r="H12" i="44"/>
  <c r="H34" i="41"/>
  <c r="H33" i="41"/>
  <c r="H29" i="41"/>
  <c r="H25" i="41"/>
  <c r="P15" i="41"/>
  <c r="D5" i="41"/>
  <c r="P20" i="40"/>
  <c r="P16" i="40"/>
  <c r="D12" i="40"/>
  <c r="B25" i="46"/>
  <c r="H16" i="46"/>
  <c r="D12" i="44"/>
  <c r="T20" i="43"/>
  <c r="T13" i="43"/>
  <c r="B39" i="41"/>
  <c r="H24" i="41"/>
  <c r="H22" i="41"/>
  <c r="H13" i="41"/>
  <c r="D4" i="41"/>
  <c r="H34" i="40"/>
  <c r="H33" i="40"/>
  <c r="H29" i="40"/>
  <c r="H25" i="40"/>
  <c r="P15" i="40"/>
  <c r="D5" i="40"/>
  <c r="T34" i="38"/>
  <c r="T33" i="38"/>
  <c r="T29" i="38"/>
  <c r="T25" i="38"/>
  <c r="P22" i="49"/>
  <c r="D20" i="47"/>
  <c r="P13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D24" i="46"/>
  <c r="P20" i="44"/>
  <c r="P20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34" i="38"/>
  <c r="P33" i="38"/>
  <c r="P29" i="38"/>
  <c r="P25" i="38"/>
  <c r="T16" i="49"/>
  <c r="H15" i="46"/>
  <c r="P24" i="43"/>
  <c r="B22" i="41"/>
  <c r="D22" i="46"/>
  <c r="B13" i="46"/>
  <c r="H12" i="43"/>
  <c r="B21" i="41"/>
  <c r="D20" i="41"/>
  <c r="D16" i="41"/>
  <c r="B22" i="40"/>
  <c r="D21" i="40"/>
  <c r="H15" i="40"/>
  <c r="H20" i="52"/>
  <c r="D16" i="47"/>
  <c r="B22" i="46"/>
  <c r="D12" i="43"/>
  <c r="T34" i="41"/>
  <c r="T33" i="41"/>
  <c r="T29" i="41"/>
  <c r="T25" i="41"/>
  <c r="B16" i="41"/>
  <c r="D15" i="41"/>
  <c r="T12" i="41"/>
  <c r="B21" i="40"/>
  <c r="D20" i="40"/>
  <c r="D16" i="40"/>
  <c r="P16" i="50"/>
  <c r="B22" i="47"/>
  <c r="H20" i="46"/>
  <c r="P16" i="43"/>
  <c r="P24" i="41"/>
  <c r="P22" i="41"/>
  <c r="T20" i="41"/>
  <c r="T16" i="41"/>
  <c r="T13" i="41"/>
  <c r="P34" i="40"/>
  <c r="P33" i="40"/>
  <c r="P29" i="40"/>
  <c r="P25" i="40"/>
  <c r="T21" i="40"/>
  <c r="B38" i="38"/>
  <c r="D34" i="38"/>
  <c r="D33" i="38"/>
  <c r="D29" i="38"/>
  <c r="D25" i="38"/>
  <c r="H21" i="38"/>
  <c r="B25" i="40"/>
  <c r="H20" i="40"/>
  <c r="B13" i="40"/>
  <c r="D22" i="38"/>
  <c r="P16" i="38"/>
  <c r="D12" i="38"/>
  <c r="P21" i="37"/>
  <c r="T15" i="37"/>
  <c r="P13" i="37"/>
  <c r="H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34" i="32"/>
  <c r="T33" i="32"/>
  <c r="T29" i="32"/>
  <c r="T25" i="32"/>
  <c r="B16" i="32"/>
  <c r="D15" i="32"/>
  <c r="T12" i="32"/>
  <c r="B21" i="31"/>
  <c r="D20" i="31"/>
  <c r="D16" i="31"/>
  <c r="P12" i="41"/>
  <c r="T12" i="40"/>
  <c r="H33" i="38"/>
  <c r="T20" i="38"/>
  <c r="P15" i="38"/>
  <c r="D5" i="38"/>
  <c r="P20" i="37"/>
  <c r="P16" i="37"/>
  <c r="D12" i="37"/>
  <c r="B22" i="35"/>
  <c r="D21" i="35"/>
  <c r="H15" i="35"/>
  <c r="B25" i="34"/>
  <c r="D24" i="34"/>
  <c r="D22" i="34"/>
  <c r="H20" i="34"/>
  <c r="H16" i="34"/>
  <c r="B13" i="34"/>
  <c r="T24" i="32"/>
  <c r="T22" i="32"/>
  <c r="P12" i="32"/>
  <c r="T34" i="31"/>
  <c r="T33" i="31"/>
  <c r="T29" i="31"/>
  <c r="T25" i="31"/>
  <c r="B16" i="31"/>
  <c r="D15" i="31"/>
  <c r="T12" i="31"/>
  <c r="P25" i="41"/>
  <c r="T24" i="40"/>
  <c r="P12" i="40"/>
  <c r="H29" i="38"/>
  <c r="H13" i="38"/>
  <c r="D4" i="38"/>
  <c r="H34" i="37"/>
  <c r="H33" i="37"/>
  <c r="H29" i="37"/>
  <c r="H25" i="37"/>
  <c r="P15" i="37"/>
  <c r="D5" i="37"/>
  <c r="B21" i="35"/>
  <c r="D20" i="35"/>
  <c r="D16" i="35"/>
  <c r="B22" i="34"/>
  <c r="D21" i="34"/>
  <c r="H15" i="34"/>
  <c r="P34" i="32"/>
  <c r="P33" i="32"/>
  <c r="P29" i="32"/>
  <c r="P25" i="32"/>
  <c r="T21" i="32"/>
  <c r="T24" i="31"/>
  <c r="T22" i="31"/>
  <c r="D21" i="46"/>
  <c r="P16" i="44"/>
  <c r="T24" i="41"/>
  <c r="D24" i="40"/>
  <c r="H24" i="38"/>
  <c r="T21" i="38"/>
  <c r="P20" i="38"/>
  <c r="D13" i="38"/>
  <c r="B39" i="37"/>
  <c r="H24" i="37"/>
  <c r="H22" i="37"/>
  <c r="H13" i="37"/>
  <c r="D4" i="37"/>
  <c r="T34" i="35"/>
  <c r="T33" i="35"/>
  <c r="T29" i="35"/>
  <c r="T25" i="35"/>
  <c r="B16" i="35"/>
  <c r="D15" i="35"/>
  <c r="T12" i="35"/>
  <c r="B21" i="34"/>
  <c r="D20" i="34"/>
  <c r="D16" i="34"/>
  <c r="P24" i="32"/>
  <c r="P22" i="32"/>
  <c r="T20" i="32"/>
  <c r="T16" i="32"/>
  <c r="T13" i="32"/>
  <c r="P34" i="31"/>
  <c r="P33" i="31"/>
  <c r="P29" i="31"/>
  <c r="P25" i="31"/>
  <c r="T21" i="31"/>
  <c r="T15" i="44"/>
  <c r="P34" i="41"/>
  <c r="T29" i="40"/>
  <c r="D24" i="38"/>
  <c r="H16" i="38"/>
  <c r="B13" i="38"/>
  <c r="B38" i="37"/>
  <c r="D34" i="37"/>
  <c r="D33" i="37"/>
  <c r="D29" i="37"/>
  <c r="D25" i="37"/>
  <c r="H21" i="37"/>
  <c r="D13" i="37"/>
  <c r="T24" i="35"/>
  <c r="T22" i="35"/>
  <c r="P12" i="35"/>
  <c r="T34" i="34"/>
  <c r="T33" i="34"/>
  <c r="T29" i="34"/>
  <c r="T25" i="34"/>
  <c r="B16" i="34"/>
  <c r="D15" i="34"/>
  <c r="T12" i="34"/>
  <c r="P21" i="32"/>
  <c r="T15" i="32"/>
  <c r="P13" i="32"/>
  <c r="H12" i="32"/>
  <c r="P24" i="31"/>
  <c r="P22" i="31"/>
  <c r="T20" i="31"/>
  <c r="T16" i="31"/>
  <c r="T13" i="31"/>
  <c r="T22" i="41"/>
  <c r="T22" i="40"/>
  <c r="P21" i="38"/>
  <c r="H15" i="38"/>
  <c r="B25" i="37"/>
  <c r="D24" i="37"/>
  <c r="D22" i="37"/>
  <c r="H20" i="37"/>
  <c r="H16" i="37"/>
  <c r="B13" i="37"/>
  <c r="P33" i="41"/>
  <c r="D22" i="40"/>
  <c r="H16" i="40"/>
  <c r="H25" i="38"/>
  <c r="T22" i="38"/>
  <c r="D16" i="38"/>
  <c r="B22" i="37"/>
  <c r="D21" i="37"/>
  <c r="H15" i="37"/>
  <c r="P24" i="35"/>
  <c r="P22" i="35"/>
  <c r="T20" i="35"/>
  <c r="T16" i="35"/>
  <c r="T13" i="35"/>
  <c r="P34" i="34"/>
  <c r="P33" i="34"/>
  <c r="P29" i="34"/>
  <c r="P25" i="34"/>
  <c r="T21" i="34"/>
  <c r="H34" i="32"/>
  <c r="H33" i="32"/>
  <c r="H29" i="32"/>
  <c r="H25" i="32"/>
  <c r="P15" i="32"/>
  <c r="D5" i="32"/>
  <c r="P20" i="31"/>
  <c r="P16" i="31"/>
  <c r="D12" i="31"/>
  <c r="P22" i="43"/>
  <c r="T34" i="40"/>
  <c r="B16" i="40"/>
  <c r="H34" i="38"/>
  <c r="P22" i="38"/>
  <c r="H20" i="38"/>
  <c r="B16" i="38"/>
  <c r="D15" i="38"/>
  <c r="T12" i="38"/>
  <c r="B21" i="37"/>
  <c r="D20" i="37"/>
  <c r="D16" i="37"/>
  <c r="P21" i="35"/>
  <c r="T15" i="35"/>
  <c r="P13" i="35"/>
  <c r="H12" i="35"/>
  <c r="P24" i="34"/>
  <c r="P22" i="34"/>
  <c r="T20" i="34"/>
  <c r="T16" i="34"/>
  <c r="T13" i="34"/>
  <c r="B39" i="32"/>
  <c r="H24" i="32"/>
  <c r="H22" i="32"/>
  <c r="H13" i="32"/>
  <c r="D4" i="32"/>
  <c r="H34" i="31"/>
  <c r="H33" i="31"/>
  <c r="H29" i="31"/>
  <c r="H25" i="31"/>
  <c r="T21" i="41"/>
  <c r="B39" i="38"/>
  <c r="B25" i="38"/>
  <c r="D20" i="38"/>
  <c r="P12" i="38"/>
  <c r="T34" i="37"/>
  <c r="T33" i="37"/>
  <c r="T29" i="37"/>
  <c r="T25" i="37"/>
  <c r="B16" i="37"/>
  <c r="D15" i="37"/>
  <c r="T12" i="37"/>
  <c r="P20" i="35"/>
  <c r="P16" i="35"/>
  <c r="D12" i="35"/>
  <c r="P21" i="34"/>
  <c r="T15" i="34"/>
  <c r="P13" i="34"/>
  <c r="H12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P24" i="38"/>
  <c r="H22" i="38"/>
  <c r="T15" i="38"/>
  <c r="P13" i="38"/>
  <c r="H12" i="38"/>
  <c r="P24" i="37"/>
  <c r="P22" i="37"/>
  <c r="T20" i="37"/>
  <c r="T16" i="37"/>
  <c r="T13" i="37"/>
  <c r="H15" i="47"/>
  <c r="P34" i="35"/>
  <c r="P29" i="35"/>
  <c r="P12" i="34"/>
  <c r="B22" i="32"/>
  <c r="D24" i="31"/>
  <c r="P12" i="31"/>
  <c r="P24" i="29"/>
  <c r="P22" i="29"/>
  <c r="T20" i="29"/>
  <c r="T16" i="29"/>
  <c r="T13" i="29"/>
  <c r="P34" i="28"/>
  <c r="P33" i="28"/>
  <c r="P29" i="28"/>
  <c r="P25" i="28"/>
  <c r="T21" i="28"/>
  <c r="B22" i="26"/>
  <c r="D21" i="26"/>
  <c r="H15" i="26"/>
  <c r="B25" i="25"/>
  <c r="D24" i="25"/>
  <c r="D22" i="25"/>
  <c r="H20" i="25"/>
  <c r="H16" i="25"/>
  <c r="B13" i="25"/>
  <c r="B21" i="23"/>
  <c r="D20" i="23"/>
  <c r="D16" i="23"/>
  <c r="B22" i="22"/>
  <c r="D21" i="22"/>
  <c r="H15" i="22"/>
  <c r="B22" i="20"/>
  <c r="D21" i="20"/>
  <c r="H15" i="20"/>
  <c r="T25" i="40"/>
  <c r="H34" i="35"/>
  <c r="H29" i="35"/>
  <c r="P15" i="35"/>
  <c r="P16" i="34"/>
  <c r="D12" i="34"/>
  <c r="H20" i="31"/>
  <c r="T15" i="31"/>
  <c r="H12" i="31"/>
  <c r="P21" i="29"/>
  <c r="T15" i="29"/>
  <c r="P13" i="29"/>
  <c r="H12" i="29"/>
  <c r="P24" i="28"/>
  <c r="P22" i="28"/>
  <c r="T20" i="28"/>
  <c r="T16" i="28"/>
  <c r="T13" i="28"/>
  <c r="B21" i="26"/>
  <c r="D20" i="26"/>
  <c r="D16" i="26"/>
  <c r="B22" i="25"/>
  <c r="D21" i="25"/>
  <c r="H15" i="25"/>
  <c r="T34" i="23"/>
  <c r="T33" i="23"/>
  <c r="T29" i="23"/>
  <c r="T25" i="23"/>
  <c r="B16" i="23"/>
  <c r="D15" i="23"/>
  <c r="T12" i="23"/>
  <c r="B21" i="22"/>
  <c r="D20" i="22"/>
  <c r="D16" i="22"/>
  <c r="H24" i="35"/>
  <c r="H25" i="34"/>
  <c r="D5" i="34"/>
  <c r="P16" i="32"/>
  <c r="D12" i="32"/>
  <c r="P15" i="31"/>
  <c r="D5" i="31"/>
  <c r="P20" i="29"/>
  <c r="P16" i="29"/>
  <c r="D12" i="29"/>
  <c r="P21" i="28"/>
  <c r="T15" i="28"/>
  <c r="P13" i="28"/>
  <c r="H12" i="28"/>
  <c r="T34" i="26"/>
  <c r="T33" i="26"/>
  <c r="T29" i="26"/>
  <c r="T25" i="26"/>
  <c r="B16" i="26"/>
  <c r="D15" i="26"/>
  <c r="T12" i="26"/>
  <c r="B21" i="25"/>
  <c r="D20" i="25"/>
  <c r="D16" i="25"/>
  <c r="T24" i="23"/>
  <c r="T22" i="23"/>
  <c r="P12" i="23"/>
  <c r="T34" i="22"/>
  <c r="T33" i="22"/>
  <c r="T29" i="22"/>
  <c r="T25" i="22"/>
  <c r="B16" i="22"/>
  <c r="D15" i="22"/>
  <c r="T12" i="22"/>
  <c r="B21" i="38"/>
  <c r="P25" i="37"/>
  <c r="D34" i="35"/>
  <c r="D29" i="35"/>
  <c r="D4" i="34"/>
  <c r="B25" i="32"/>
  <c r="H16" i="32"/>
  <c r="B38" i="31"/>
  <c r="D33" i="31"/>
  <c r="H34" i="29"/>
  <c r="H33" i="29"/>
  <c r="H29" i="29"/>
  <c r="H25" i="29"/>
  <c r="P15" i="29"/>
  <c r="D5" i="29"/>
  <c r="P20" i="28"/>
  <c r="P16" i="28"/>
  <c r="D12" i="28"/>
  <c r="T24" i="26"/>
  <c r="T22" i="26"/>
  <c r="P12" i="26"/>
  <c r="T34" i="25"/>
  <c r="T33" i="25"/>
  <c r="T29" i="25"/>
  <c r="T25" i="25"/>
  <c r="B16" i="25"/>
  <c r="D15" i="25"/>
  <c r="T12" i="25"/>
  <c r="P34" i="23"/>
  <c r="P33" i="23"/>
  <c r="P29" i="23"/>
  <c r="P25" i="23"/>
  <c r="T21" i="23"/>
  <c r="T24" i="22"/>
  <c r="T22" i="22"/>
  <c r="P12" i="22"/>
  <c r="T24" i="20"/>
  <c r="T16" i="43"/>
  <c r="T24" i="37"/>
  <c r="P33" i="35"/>
  <c r="T24" i="34"/>
  <c r="D21" i="32"/>
  <c r="D22" i="31"/>
  <c r="B39" i="29"/>
  <c r="H24" i="29"/>
  <c r="H22" i="29"/>
  <c r="H13" i="29"/>
  <c r="D4" i="29"/>
  <c r="H34" i="28"/>
  <c r="H33" i="28"/>
  <c r="H29" i="28"/>
  <c r="H25" i="28"/>
  <c r="P15" i="28"/>
  <c r="D5" i="28"/>
  <c r="P34" i="26"/>
  <c r="P33" i="26"/>
  <c r="P29" i="26"/>
  <c r="P25" i="26"/>
  <c r="T21" i="26"/>
  <c r="T24" i="25"/>
  <c r="T22" i="25"/>
  <c r="P12" i="25"/>
  <c r="P24" i="23"/>
  <c r="P22" i="23"/>
  <c r="T20" i="23"/>
  <c r="T16" i="23"/>
  <c r="T13" i="23"/>
  <c r="P34" i="22"/>
  <c r="P33" i="22"/>
  <c r="P29" i="22"/>
  <c r="P25" i="22"/>
  <c r="T21" i="22"/>
  <c r="P29" i="41"/>
  <c r="D15" i="40"/>
  <c r="P34" i="37"/>
  <c r="H33" i="35"/>
  <c r="P20" i="34"/>
  <c r="B21" i="32"/>
  <c r="D16" i="32"/>
  <c r="B22" i="31"/>
  <c r="H15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D21" i="41"/>
  <c r="T22" i="37"/>
  <c r="B39" i="35"/>
  <c r="H22" i="35"/>
  <c r="H13" i="35"/>
  <c r="H34" i="34"/>
  <c r="H29" i="34"/>
  <c r="P15" i="34"/>
  <c r="P20" i="32"/>
  <c r="P21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21" i="26"/>
  <c r="T15" i="26"/>
  <c r="P13" i="26"/>
  <c r="H12" i="26"/>
  <c r="P24" i="25"/>
  <c r="P22" i="25"/>
  <c r="T20" i="25"/>
  <c r="T16" i="25"/>
  <c r="T13" i="25"/>
  <c r="P20" i="23"/>
  <c r="P16" i="23"/>
  <c r="D12" i="23"/>
  <c r="P21" i="22"/>
  <c r="T15" i="22"/>
  <c r="P13" i="22"/>
  <c r="H12" i="22"/>
  <c r="P21" i="20"/>
  <c r="T15" i="20"/>
  <c r="P13" i="20"/>
  <c r="H12" i="20"/>
  <c r="T16" i="38"/>
  <c r="P33" i="37"/>
  <c r="B38" i="35"/>
  <c r="D33" i="35"/>
  <c r="D13" i="35"/>
  <c r="H24" i="34"/>
  <c r="D24" i="32"/>
  <c r="H20" i="32"/>
  <c r="D25" i="31"/>
  <c r="H21" i="31"/>
  <c r="P13" i="31"/>
  <c r="B22" i="29"/>
  <c r="D21" i="29"/>
  <c r="H15" i="29"/>
  <c r="B25" i="28"/>
  <c r="D24" i="28"/>
  <c r="D22" i="28"/>
  <c r="H20" i="28"/>
  <c r="H16" i="28"/>
  <c r="B13" i="28"/>
  <c r="P20" i="26"/>
  <c r="P16" i="26"/>
  <c r="D12" i="26"/>
  <c r="P21" i="25"/>
  <c r="T15" i="25"/>
  <c r="P13" i="25"/>
  <c r="H12" i="25"/>
  <c r="H34" i="23"/>
  <c r="H33" i="23"/>
  <c r="H29" i="23"/>
  <c r="H25" i="23"/>
  <c r="P15" i="23"/>
  <c r="D5" i="23"/>
  <c r="P20" i="22"/>
  <c r="P16" i="22"/>
  <c r="D12" i="22"/>
  <c r="H15" i="41"/>
  <c r="P12" i="37"/>
  <c r="P25" i="35"/>
  <c r="T21" i="35"/>
  <c r="T22" i="34"/>
  <c r="H15" i="32"/>
  <c r="B25" i="31"/>
  <c r="B21" i="29"/>
  <c r="D20" i="29"/>
  <c r="D16" i="29"/>
  <c r="B22" i="28"/>
  <c r="D21" i="28"/>
  <c r="H15" i="28"/>
  <c r="H34" i="26"/>
  <c r="H33" i="26"/>
  <c r="H29" i="26"/>
  <c r="H25" i="26"/>
  <c r="P15" i="26"/>
  <c r="D5" i="26"/>
  <c r="P20" i="25"/>
  <c r="P16" i="25"/>
  <c r="D12" i="25"/>
  <c r="B39" i="23"/>
  <c r="H24" i="23"/>
  <c r="H22" i="23"/>
  <c r="H13" i="23"/>
  <c r="D4" i="23"/>
  <c r="H34" i="22"/>
  <c r="H33" i="22"/>
  <c r="H29" i="22"/>
  <c r="H25" i="22"/>
  <c r="P15" i="22"/>
  <c r="D5" i="22"/>
  <c r="H34" i="20"/>
  <c r="H33" i="20"/>
  <c r="H29" i="20"/>
  <c r="T33" i="40"/>
  <c r="T24" i="38"/>
  <c r="T13" i="38"/>
  <c r="P29" i="37"/>
  <c r="D25" i="35"/>
  <c r="H21" i="35"/>
  <c r="B39" i="34"/>
  <c r="H22" i="34"/>
  <c r="H13" i="34"/>
  <c r="D22" i="32"/>
  <c r="B13" i="32"/>
  <c r="D34" i="31"/>
  <c r="D29" i="31"/>
  <c r="H16" i="31"/>
  <c r="P34" i="29"/>
  <c r="P33" i="29"/>
  <c r="P29" i="29"/>
  <c r="P25" i="29"/>
  <c r="T21" i="29"/>
  <c r="T24" i="28"/>
  <c r="T22" i="28"/>
  <c r="P12" i="28"/>
  <c r="T34" i="28"/>
  <c r="B16" i="28"/>
  <c r="P22" i="26"/>
  <c r="T13" i="26"/>
  <c r="P34" i="25"/>
  <c r="P29" i="25"/>
  <c r="D21" i="23"/>
  <c r="D22" i="22"/>
  <c r="B13" i="22"/>
  <c r="D25" i="20"/>
  <c r="T21" i="20"/>
  <c r="P20" i="20"/>
  <c r="H16" i="20"/>
  <c r="D15" i="20"/>
  <c r="H34" i="19"/>
  <c r="H24" i="19"/>
  <c r="H22" i="19"/>
  <c r="H13" i="19"/>
  <c r="D4" i="19"/>
  <c r="P20" i="17"/>
  <c r="P16" i="17"/>
  <c r="D12" i="17"/>
  <c r="P21" i="16"/>
  <c r="T15" i="16"/>
  <c r="P13" i="16"/>
  <c r="H12" i="16"/>
  <c r="H33" i="34"/>
  <c r="T25" i="29"/>
  <c r="B39" i="26"/>
  <c r="H22" i="26"/>
  <c r="H13" i="26"/>
  <c r="H34" i="25"/>
  <c r="H29" i="25"/>
  <c r="P15" i="25"/>
  <c r="T15" i="23"/>
  <c r="T16" i="22"/>
  <c r="T29" i="20"/>
  <c r="B25" i="20"/>
  <c r="T22" i="20"/>
  <c r="D16" i="20"/>
  <c r="D33" i="19"/>
  <c r="D29" i="19"/>
  <c r="D25" i="19"/>
  <c r="H21" i="19"/>
  <c r="D13" i="19"/>
  <c r="H34" i="17"/>
  <c r="H33" i="17"/>
  <c r="H29" i="17"/>
  <c r="H25" i="17"/>
  <c r="P15" i="17"/>
  <c r="D5" i="17"/>
  <c r="P20" i="16"/>
  <c r="P16" i="16"/>
  <c r="D12" i="16"/>
  <c r="D21" i="31"/>
  <c r="T33" i="28"/>
  <c r="D15" i="28"/>
  <c r="B38" i="26"/>
  <c r="D33" i="26"/>
  <c r="D13" i="26"/>
  <c r="H24" i="25"/>
  <c r="D34" i="23"/>
  <c r="D29" i="23"/>
  <c r="D4" i="22"/>
  <c r="T34" i="20"/>
  <c r="D33" i="20"/>
  <c r="P29" i="20"/>
  <c r="B16" i="20"/>
  <c r="D12" i="20"/>
  <c r="D34" i="19"/>
  <c r="B25" i="19"/>
  <c r="D24" i="19"/>
  <c r="D22" i="19"/>
  <c r="H20" i="19"/>
  <c r="H16" i="19"/>
  <c r="B13" i="19"/>
  <c r="B39" i="17"/>
  <c r="H24" i="17"/>
  <c r="H22" i="17"/>
  <c r="H13" i="17"/>
  <c r="D4" i="17"/>
  <c r="H34" i="16"/>
  <c r="H33" i="16"/>
  <c r="H29" i="16"/>
  <c r="H25" i="16"/>
  <c r="P15" i="16"/>
  <c r="D5" i="16"/>
  <c r="T34" i="29"/>
  <c r="B16" i="29"/>
  <c r="D22" i="26"/>
  <c r="B13" i="26"/>
  <c r="D34" i="25"/>
  <c r="D29" i="25"/>
  <c r="D24" i="23"/>
  <c r="H20" i="23"/>
  <c r="D25" i="22"/>
  <c r="H21" i="22"/>
  <c r="B39" i="20"/>
  <c r="P34" i="20"/>
  <c r="P22" i="20"/>
  <c r="T13" i="20"/>
  <c r="D5" i="20"/>
  <c r="B22" i="19"/>
  <c r="D21" i="19"/>
  <c r="H15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H25" i="35"/>
  <c r="D20" i="32"/>
  <c r="T24" i="29"/>
  <c r="T12" i="28"/>
  <c r="T16" i="26"/>
  <c r="P33" i="25"/>
  <c r="H15" i="23"/>
  <c r="B25" i="22"/>
  <c r="H16" i="22"/>
  <c r="B38" i="20"/>
  <c r="H20" i="20"/>
  <c r="D4" i="20"/>
  <c r="B21" i="19"/>
  <c r="D20" i="19"/>
  <c r="D16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33" i="29"/>
  <c r="D15" i="29"/>
  <c r="B21" i="28"/>
  <c r="D4" i="26"/>
  <c r="H33" i="25"/>
  <c r="P13" i="23"/>
  <c r="P24" i="22"/>
  <c r="T20" i="22"/>
  <c r="P24" i="20"/>
  <c r="H21" i="20"/>
  <c r="D20" i="20"/>
  <c r="B39" i="19"/>
  <c r="T29" i="19"/>
  <c r="T25" i="19"/>
  <c r="B16" i="19"/>
  <c r="D15" i="19"/>
  <c r="T12" i="19"/>
  <c r="T21" i="37"/>
  <c r="D13" i="31"/>
  <c r="T22" i="29"/>
  <c r="T29" i="28"/>
  <c r="D25" i="26"/>
  <c r="H21" i="26"/>
  <c r="B39" i="25"/>
  <c r="H22" i="25"/>
  <c r="H13" i="25"/>
  <c r="B38" i="23"/>
  <c r="D33" i="23"/>
  <c r="D13" i="23"/>
  <c r="H24" i="22"/>
  <c r="D34" i="20"/>
  <c r="D29" i="20"/>
  <c r="T25" i="20"/>
  <c r="H22" i="20"/>
  <c r="H13" i="20"/>
  <c r="B38" i="19"/>
  <c r="T33" i="19"/>
  <c r="T24" i="19"/>
  <c r="T22" i="19"/>
  <c r="P12" i="19"/>
  <c r="B21" i="17"/>
  <c r="D20" i="17"/>
  <c r="D16" i="17"/>
  <c r="B22" i="16"/>
  <c r="D21" i="16"/>
  <c r="H15" i="16"/>
  <c r="B13" i="31"/>
  <c r="T12" i="29"/>
  <c r="D20" i="28"/>
  <c r="B25" i="26"/>
  <c r="H16" i="26"/>
  <c r="B38" i="25"/>
  <c r="D33" i="25"/>
  <c r="D13" i="25"/>
  <c r="D22" i="23"/>
  <c r="B13" i="23"/>
  <c r="D34" i="22"/>
  <c r="D29" i="22"/>
  <c r="P25" i="20"/>
  <c r="B21" i="20"/>
  <c r="T16" i="20"/>
  <c r="P15" i="20"/>
  <c r="D13" i="20"/>
  <c r="T34" i="19"/>
  <c r="P29" i="19"/>
  <c r="P25" i="19"/>
  <c r="T21" i="19"/>
  <c r="T34" i="17"/>
  <c r="T33" i="17"/>
  <c r="T29" i="17"/>
  <c r="T25" i="17"/>
  <c r="B16" i="17"/>
  <c r="D15" i="17"/>
  <c r="T12" i="17"/>
  <c r="B21" i="16"/>
  <c r="D20" i="16"/>
  <c r="D16" i="16"/>
  <c r="P12" i="29"/>
  <c r="P24" i="26"/>
  <c r="T20" i="26"/>
  <c r="P25" i="25"/>
  <c r="T21" i="25"/>
  <c r="B22" i="23"/>
  <c r="D24" i="22"/>
  <c r="H20" i="22"/>
  <c r="H24" i="20"/>
  <c r="D22" i="20"/>
  <c r="P16" i="20"/>
  <c r="B13" i="20"/>
  <c r="P33" i="19"/>
  <c r="P24" i="19"/>
  <c r="P22" i="19"/>
  <c r="T20" i="19"/>
  <c r="T16" i="19"/>
  <c r="T13" i="19"/>
  <c r="T24" i="17"/>
  <c r="T22" i="17"/>
  <c r="P12" i="17"/>
  <c r="T34" i="16"/>
  <c r="T33" i="16"/>
  <c r="T29" i="16"/>
  <c r="T25" i="16"/>
  <c r="B16" i="16"/>
  <c r="D15" i="16"/>
  <c r="T12" i="16"/>
  <c r="D4" i="35"/>
  <c r="D16" i="28"/>
  <c r="D24" i="26"/>
  <c r="H20" i="26"/>
  <c r="D25" i="25"/>
  <c r="H21" i="25"/>
  <c r="B25" i="23"/>
  <c r="H16" i="23"/>
  <c r="B38" i="22"/>
  <c r="D33" i="22"/>
  <c r="D13" i="22"/>
  <c r="T20" i="20"/>
  <c r="P12" i="20"/>
  <c r="H33" i="19"/>
  <c r="H29" i="19"/>
  <c r="H25" i="19"/>
  <c r="P15" i="19"/>
  <c r="D5" i="19"/>
  <c r="P21" i="17"/>
  <c r="T15" i="17"/>
  <c r="P13" i="17"/>
  <c r="H12" i="17"/>
  <c r="P24" i="16"/>
  <c r="P22" i="16"/>
  <c r="T20" i="16"/>
  <c r="T16" i="16"/>
  <c r="P33" i="20"/>
  <c r="P24" i="17"/>
  <c r="P12" i="16"/>
  <c r="T34" i="14"/>
  <c r="T33" i="14"/>
  <c r="T29" i="14"/>
  <c r="T25" i="14"/>
  <c r="B16" i="14"/>
  <c r="D15" i="14"/>
  <c r="T12" i="14"/>
  <c r="B21" i="13"/>
  <c r="D20" i="13"/>
  <c r="D16" i="13"/>
  <c r="B39" i="11"/>
  <c r="H24" i="11"/>
  <c r="H22" i="11"/>
  <c r="H13" i="11"/>
  <c r="D4" i="11"/>
  <c r="H34" i="10"/>
  <c r="H33" i="10"/>
  <c r="H29" i="10"/>
  <c r="H25" i="10"/>
  <c r="P15" i="10"/>
  <c r="D5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P13" i="19"/>
  <c r="D24" i="16"/>
  <c r="T24" i="14"/>
  <c r="T22" i="14"/>
  <c r="P12" i="14"/>
  <c r="T34" i="13"/>
  <c r="T33" i="13"/>
  <c r="T29" i="13"/>
  <c r="T25" i="13"/>
  <c r="B16" i="13"/>
  <c r="D15" i="13"/>
  <c r="T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21" i="8"/>
  <c r="T15" i="8"/>
  <c r="P13" i="8"/>
  <c r="H12" i="8"/>
  <c r="P24" i="7"/>
  <c r="P22" i="7"/>
  <c r="T20" i="7"/>
  <c r="T16" i="7"/>
  <c r="T13" i="7"/>
  <c r="B25" i="5"/>
  <c r="D24" i="5"/>
  <c r="D22" i="5"/>
  <c r="P29" i="17"/>
  <c r="T22" i="16"/>
  <c r="P34" i="14"/>
  <c r="P33" i="14"/>
  <c r="P29" i="14"/>
  <c r="P25" i="14"/>
  <c r="T21" i="14"/>
  <c r="T24" i="13"/>
  <c r="T22" i="13"/>
  <c r="P1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T25" i="28"/>
  <c r="D5" i="25"/>
  <c r="P21" i="19"/>
  <c r="H12" i="19"/>
  <c r="P22" i="17"/>
  <c r="T16" i="17"/>
  <c r="P29" i="16"/>
  <c r="P24" i="14"/>
  <c r="P22" i="14"/>
  <c r="T20" i="14"/>
  <c r="T16" i="14"/>
  <c r="T13" i="14"/>
  <c r="P34" i="13"/>
  <c r="P33" i="13"/>
  <c r="P29" i="13"/>
  <c r="P25" i="13"/>
  <c r="T21" i="13"/>
  <c r="B22" i="11"/>
  <c r="D21" i="11"/>
  <c r="H15" i="11"/>
  <c r="B25" i="10"/>
  <c r="D24" i="10"/>
  <c r="D22" i="10"/>
  <c r="H20" i="10"/>
  <c r="H16" i="10"/>
  <c r="B13" i="10"/>
  <c r="H34" i="8"/>
  <c r="H33" i="8"/>
  <c r="H29" i="8"/>
  <c r="H25" i="8"/>
  <c r="P15" i="8"/>
  <c r="D5" i="8"/>
  <c r="D4" i="25"/>
  <c r="P22" i="22"/>
  <c r="D12" i="19"/>
  <c r="B22" i="17"/>
  <c r="D22" i="16"/>
  <c r="H16" i="16"/>
  <c r="P21" i="14"/>
  <c r="T15" i="14"/>
  <c r="P13" i="14"/>
  <c r="H12" i="14"/>
  <c r="P24" i="13"/>
  <c r="P22" i="13"/>
  <c r="T20" i="13"/>
  <c r="T16" i="13"/>
  <c r="T13" i="13"/>
  <c r="B21" i="11"/>
  <c r="D20" i="11"/>
  <c r="D16" i="11"/>
  <c r="B22" i="10"/>
  <c r="D21" i="10"/>
  <c r="H1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D25" i="23"/>
  <c r="H22" i="22"/>
  <c r="P34" i="17"/>
  <c r="T21" i="17"/>
  <c r="P20" i="14"/>
  <c r="P16" i="14"/>
  <c r="D12" i="14"/>
  <c r="P21" i="13"/>
  <c r="T15" i="13"/>
  <c r="P13" i="13"/>
  <c r="H12" i="13"/>
  <c r="P21" i="23"/>
  <c r="H25" i="20"/>
  <c r="P20" i="19"/>
  <c r="P34" i="16"/>
  <c r="T21" i="16"/>
  <c r="H34" i="14"/>
  <c r="H33" i="14"/>
  <c r="H29" i="14"/>
  <c r="H25" i="14"/>
  <c r="P15" i="14"/>
  <c r="D5" i="14"/>
  <c r="P20" i="13"/>
  <c r="P16" i="13"/>
  <c r="D12" i="13"/>
  <c r="T24" i="11"/>
  <c r="T22" i="11"/>
  <c r="P12" i="11"/>
  <c r="T34" i="10"/>
  <c r="T33" i="10"/>
  <c r="T29" i="10"/>
  <c r="T25" i="10"/>
  <c r="B16" i="10"/>
  <c r="D15" i="10"/>
  <c r="T12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H21" i="23"/>
  <c r="D21" i="17"/>
  <c r="H15" i="17"/>
  <c r="B39" i="14"/>
  <c r="H24" i="14"/>
  <c r="H22" i="14"/>
  <c r="H13" i="14"/>
  <c r="D4" i="14"/>
  <c r="H34" i="13"/>
  <c r="H33" i="13"/>
  <c r="H29" i="13"/>
  <c r="H25" i="13"/>
  <c r="P15" i="13"/>
  <c r="D5" i="13"/>
  <c r="P34" i="11"/>
  <c r="P33" i="11"/>
  <c r="P29" i="11"/>
  <c r="P25" i="11"/>
  <c r="T21" i="11"/>
  <c r="T24" i="10"/>
  <c r="T22" i="10"/>
  <c r="P12" i="10"/>
  <c r="B22" i="8"/>
  <c r="D21" i="8"/>
  <c r="H15" i="8"/>
  <c r="B25" i="7"/>
  <c r="D24" i="7"/>
  <c r="D22" i="7"/>
  <c r="H20" i="7"/>
  <c r="H16" i="7"/>
  <c r="B13" i="7"/>
  <c r="P24" i="5"/>
  <c r="P22" i="5"/>
  <c r="T20" i="5"/>
  <c r="T29" i="29"/>
  <c r="D34" i="26"/>
  <c r="T13" i="22"/>
  <c r="D24" i="20"/>
  <c r="T12" i="20"/>
  <c r="P33" i="17"/>
  <c r="P25" i="17"/>
  <c r="B38" i="14"/>
  <c r="D34" i="14"/>
  <c r="D33" i="14"/>
  <c r="D29" i="14"/>
  <c r="D25" i="14"/>
  <c r="H21" i="14"/>
  <c r="D13" i="14"/>
  <c r="B39" i="13"/>
  <c r="H24" i="13"/>
  <c r="H22" i="13"/>
  <c r="H13" i="13"/>
  <c r="D4" i="13"/>
  <c r="P24" i="11"/>
  <c r="P22" i="11"/>
  <c r="T20" i="11"/>
  <c r="T16" i="11"/>
  <c r="T13" i="11"/>
  <c r="P34" i="10"/>
  <c r="P33" i="10"/>
  <c r="P29" i="10"/>
  <c r="P25" i="10"/>
  <c r="T21" i="10"/>
  <c r="B21" i="8"/>
  <c r="D20" i="8"/>
  <c r="D16" i="8"/>
  <c r="B22" i="7"/>
  <c r="D21" i="7"/>
  <c r="H15" i="7"/>
  <c r="P21" i="5"/>
  <c r="D5" i="35"/>
  <c r="H24" i="26"/>
  <c r="B39" i="22"/>
  <c r="T33" i="20"/>
  <c r="P34" i="19"/>
  <c r="T15" i="19"/>
  <c r="T24" i="16"/>
  <c r="B13" i="16"/>
  <c r="B21" i="14"/>
  <c r="D20" i="14"/>
  <c r="D16" i="14"/>
  <c r="B22" i="13"/>
  <c r="D21" i="13"/>
  <c r="H15" i="13"/>
  <c r="H34" i="11"/>
  <c r="H33" i="11"/>
  <c r="H29" i="11"/>
  <c r="H25" i="11"/>
  <c r="P15" i="11"/>
  <c r="D5" i="11"/>
  <c r="P20" i="10"/>
  <c r="P16" i="10"/>
  <c r="D12" i="10"/>
  <c r="B25" i="13"/>
  <c r="H16" i="13"/>
  <c r="T34" i="11"/>
  <c r="B16" i="11"/>
  <c r="D16" i="10"/>
  <c r="P12" i="8"/>
  <c r="H22" i="7"/>
  <c r="H13" i="7"/>
  <c r="H21" i="5"/>
  <c r="D20" i="5"/>
  <c r="D16" i="5"/>
  <c r="B22" i="4"/>
  <c r="D21" i="4"/>
  <c r="H15" i="4"/>
  <c r="B39" i="4"/>
  <c r="P22" i="10"/>
  <c r="T34" i="7"/>
  <c r="D34" i="4"/>
  <c r="P16" i="19"/>
  <c r="T13" i="17"/>
  <c r="D34" i="13"/>
  <c r="P21" i="11"/>
  <c r="T15" i="11"/>
  <c r="T34" i="8"/>
  <c r="T22" i="8"/>
  <c r="P20" i="8"/>
  <c r="B16" i="8"/>
  <c r="T29" i="7"/>
  <c r="D20" i="7"/>
  <c r="D16" i="7"/>
  <c r="H33" i="5"/>
  <c r="H29" i="5"/>
  <c r="H25" i="5"/>
  <c r="D21" i="5"/>
  <c r="B16" i="5"/>
  <c r="D15" i="5"/>
  <c r="T12" i="5"/>
  <c r="B21" i="4"/>
  <c r="D20" i="4"/>
  <c r="D16" i="4"/>
  <c r="H24" i="4"/>
  <c r="B38" i="4"/>
  <c r="D24" i="13"/>
  <c r="P21" i="10"/>
  <c r="T15" i="10"/>
  <c r="T25" i="8"/>
  <c r="D12" i="8"/>
  <c r="B16" i="7"/>
  <c r="T12" i="7"/>
  <c r="B21" i="5"/>
  <c r="P12" i="5"/>
  <c r="T34" i="4"/>
  <c r="T33" i="4"/>
  <c r="T29" i="4"/>
  <c r="T25" i="4"/>
  <c r="B16" i="4"/>
  <c r="D15" i="4"/>
  <c r="T12" i="4"/>
  <c r="P33" i="16"/>
  <c r="B25" i="14"/>
  <c r="H16" i="14"/>
  <c r="D33" i="13"/>
  <c r="D13" i="13"/>
  <c r="T33" i="11"/>
  <c r="T25" i="11"/>
  <c r="D15" i="11"/>
  <c r="B21" i="10"/>
  <c r="P34" i="8"/>
  <c r="B39" i="7"/>
  <c r="T33" i="7"/>
  <c r="P12" i="7"/>
  <c r="H22" i="5"/>
  <c r="T24" i="4"/>
  <c r="T22" i="4"/>
  <c r="P12" i="4"/>
  <c r="D4" i="4"/>
  <c r="T22" i="7"/>
  <c r="H21" i="4"/>
  <c r="D22" i="13"/>
  <c r="B13" i="13"/>
  <c r="P13" i="11"/>
  <c r="T20" i="10"/>
  <c r="T13" i="10"/>
  <c r="T29" i="8"/>
  <c r="P25" i="8"/>
  <c r="P21" i="7"/>
  <c r="T15" i="7"/>
  <c r="H12" i="7"/>
  <c r="B22" i="5"/>
  <c r="T16" i="5"/>
  <c r="T13" i="5"/>
  <c r="P34" i="4"/>
  <c r="P33" i="4"/>
  <c r="P29" i="4"/>
  <c r="P25" i="4"/>
  <c r="T21" i="4"/>
  <c r="D33" i="8"/>
  <c r="H16" i="5"/>
  <c r="P25" i="16"/>
  <c r="D24" i="14"/>
  <c r="H21" i="13"/>
  <c r="P20" i="11"/>
  <c r="P13" i="10"/>
  <c r="D34" i="8"/>
  <c r="T24" i="7"/>
  <c r="D12" i="7"/>
  <c r="T24" i="5"/>
  <c r="T15" i="5"/>
  <c r="P13" i="5"/>
  <c r="H12" i="5"/>
  <c r="P24" i="4"/>
  <c r="P22" i="4"/>
  <c r="T20" i="4"/>
  <c r="T16" i="4"/>
  <c r="T13" i="4"/>
  <c r="B25" i="16"/>
  <c r="H15" i="14"/>
  <c r="T12" i="11"/>
  <c r="D20" i="10"/>
  <c r="T33" i="8"/>
  <c r="P29" i="8"/>
  <c r="D25" i="8"/>
  <c r="D15" i="8"/>
  <c r="D4" i="7"/>
  <c r="P20" i="5"/>
  <c r="P16" i="5"/>
  <c r="D12" i="5"/>
  <c r="P21" i="4"/>
  <c r="T15" i="4"/>
  <c r="P13" i="4"/>
  <c r="H12" i="4"/>
  <c r="H25" i="25"/>
  <c r="H13" i="22"/>
  <c r="B38" i="13"/>
  <c r="T29" i="11"/>
  <c r="H21" i="8"/>
  <c r="H22" i="4"/>
  <c r="T13" i="16"/>
  <c r="D21" i="14"/>
  <c r="D29" i="4"/>
  <c r="D13" i="4"/>
  <c r="D22" i="14"/>
  <c r="B13" i="14"/>
  <c r="D29" i="13"/>
  <c r="H12" i="11"/>
  <c r="P24" i="10"/>
  <c r="B38" i="8"/>
  <c r="T21" i="8"/>
  <c r="H24" i="7"/>
  <c r="B21" i="7"/>
  <c r="H34" i="5"/>
  <c r="P15" i="5"/>
  <c r="D5" i="5"/>
  <c r="P20" i="4"/>
  <c r="P16" i="4"/>
  <c r="D12" i="4"/>
  <c r="D13" i="8"/>
  <c r="P13" i="7"/>
  <c r="D33" i="4"/>
  <c r="D29" i="26"/>
  <c r="H12" i="23"/>
  <c r="H20" i="16"/>
  <c r="B22" i="14"/>
  <c r="H20" i="13"/>
  <c r="D12" i="11"/>
  <c r="H12" i="10"/>
  <c r="P33" i="8"/>
  <c r="D29" i="8"/>
  <c r="T24" i="8"/>
  <c r="D15" i="7"/>
  <c r="B39" i="5"/>
  <c r="H24" i="5"/>
  <c r="T21" i="5"/>
  <c r="H13" i="5"/>
  <c r="D4" i="5"/>
  <c r="H34" i="4"/>
  <c r="H33" i="4"/>
  <c r="H29" i="4"/>
  <c r="H25" i="4"/>
  <c r="P15" i="4"/>
  <c r="D5" i="4"/>
  <c r="D13" i="5"/>
  <c r="H13" i="4"/>
  <c r="H20" i="5"/>
  <c r="D25" i="4"/>
  <c r="T20" i="17"/>
  <c r="H20" i="14"/>
  <c r="D25" i="13"/>
  <c r="P16" i="11"/>
  <c r="P16" i="8"/>
  <c r="T12" i="8"/>
  <c r="T25" i="7"/>
  <c r="P20" i="7"/>
  <c r="P16" i="7"/>
  <c r="T22" i="5"/>
  <c r="H15" i="5"/>
  <c r="B25" i="4"/>
  <c r="D24" i="4"/>
  <c r="D22" i="4"/>
  <c r="H20" i="4"/>
  <c r="H16" i="4"/>
  <c r="B13" i="4"/>
  <c r="T16" i="10"/>
  <c r="B13" i="5"/>
  <c r="Z16" i="10" l="1"/>
  <c r="N16" i="4"/>
  <c r="N20" i="4"/>
  <c r="L22" i="4"/>
  <c r="L24" i="4"/>
  <c r="N15" i="5"/>
  <c r="Z22" i="5"/>
  <c r="X16" i="7"/>
  <c r="X20" i="7"/>
  <c r="Z25" i="7"/>
  <c r="T18" i="8"/>
  <c r="V15" i="8"/>
  <c r="Z12" i="8"/>
  <c r="V36" i="8"/>
  <c r="V34" i="8"/>
  <c r="V33" i="8"/>
  <c r="V31" i="8"/>
  <c r="V29" i="8"/>
  <c r="V27" i="8"/>
  <c r="V25" i="8"/>
  <c r="V22" i="8"/>
  <c r="V20" i="8"/>
  <c r="V18" i="8"/>
  <c r="V21" i="8"/>
  <c r="V24" i="8"/>
  <c r="V16" i="8"/>
  <c r="X16" i="8"/>
  <c r="X16" i="11"/>
  <c r="L25" i="13"/>
  <c r="N20" i="14"/>
  <c r="Z20" i="17"/>
  <c r="L25" i="4"/>
  <c r="N20" i="5"/>
  <c r="N13" i="4"/>
  <c r="L13" i="5"/>
  <c r="X15" i="4"/>
  <c r="N25" i="4"/>
  <c r="N29" i="4"/>
  <c r="N33" i="4"/>
  <c r="N34" i="4"/>
  <c r="N13" i="5"/>
  <c r="Z21" i="5"/>
  <c r="N24" i="5"/>
  <c r="L15" i="7"/>
  <c r="Z24" i="8"/>
  <c r="L29" i="8"/>
  <c r="X33" i="8"/>
  <c r="J24" i="10"/>
  <c r="J22" i="10"/>
  <c r="J21" i="10"/>
  <c r="J20" i="10"/>
  <c r="J18" i="10"/>
  <c r="J16" i="10"/>
  <c r="H18" i="10"/>
  <c r="J15" i="10"/>
  <c r="N12" i="10"/>
  <c r="J36" i="10"/>
  <c r="J34" i="10"/>
  <c r="J33" i="10"/>
  <c r="J31" i="10"/>
  <c r="J29" i="10"/>
  <c r="J27" i="10"/>
  <c r="J25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L12" i="11"/>
  <c r="N20" i="13"/>
  <c r="N20" i="16"/>
  <c r="N12" i="23"/>
  <c r="J36" i="23"/>
  <c r="J34" i="23"/>
  <c r="J33" i="23"/>
  <c r="J31" i="23"/>
  <c r="J29" i="23"/>
  <c r="J27" i="23"/>
  <c r="J25" i="23"/>
  <c r="J24" i="23"/>
  <c r="J22" i="23"/>
  <c r="J21" i="23"/>
  <c r="J20" i="23"/>
  <c r="J15" i="23"/>
  <c r="J18" i="23"/>
  <c r="H18" i="23"/>
  <c r="J16" i="23"/>
  <c r="L29" i="26"/>
  <c r="L33" i="4"/>
  <c r="X13" i="7"/>
  <c r="L13" i="8"/>
  <c r="F20" i="4"/>
  <c r="F18" i="4"/>
  <c r="F16" i="4"/>
  <c r="F22" i="4"/>
  <c r="D18" i="4"/>
  <c r="F15" i="4"/>
  <c r="F31" i="4"/>
  <c r="F24" i="4"/>
  <c r="F34" i="4"/>
  <c r="F33" i="4"/>
  <c r="F25" i="4"/>
  <c r="L12" i="4"/>
  <c r="F36" i="4"/>
  <c r="F29" i="4"/>
  <c r="F27" i="4"/>
  <c r="F21" i="4"/>
  <c r="X16" i="4"/>
  <c r="X20" i="4"/>
  <c r="X15" i="5"/>
  <c r="N34" i="5"/>
  <c r="N24" i="7"/>
  <c r="Z21" i="8"/>
  <c r="X24" i="10"/>
  <c r="J21" i="11"/>
  <c r="J20" i="11"/>
  <c r="J18" i="11"/>
  <c r="J16" i="11"/>
  <c r="H18" i="11"/>
  <c r="J15" i="11"/>
  <c r="N12" i="11"/>
  <c r="J24" i="11"/>
  <c r="J22" i="11"/>
  <c r="J34" i="11"/>
  <c r="J27" i="11"/>
  <c r="J33" i="11"/>
  <c r="J25" i="11"/>
  <c r="J31" i="11"/>
  <c r="J36" i="11"/>
  <c r="J29" i="11"/>
  <c r="L29" i="13"/>
  <c r="L22" i="14"/>
  <c r="L13" i="4"/>
  <c r="L29" i="4"/>
  <c r="L21" i="14"/>
  <c r="Z13" i="16"/>
  <c r="N22" i="4"/>
  <c r="N21" i="8"/>
  <c r="Z29" i="11"/>
  <c r="N13" i="22"/>
  <c r="N25" i="25"/>
  <c r="J16" i="4"/>
  <c r="J21" i="4"/>
  <c r="N12" i="4"/>
  <c r="J18" i="4"/>
  <c r="J36" i="4"/>
  <c r="J34" i="4"/>
  <c r="J33" i="4"/>
  <c r="J31" i="4"/>
  <c r="J29" i="4"/>
  <c r="J27" i="4"/>
  <c r="J25" i="4"/>
  <c r="J24" i="4"/>
  <c r="J22" i="4"/>
  <c r="H18" i="4"/>
  <c r="J15" i="4"/>
  <c r="J20" i="4"/>
  <c r="X13" i="4"/>
  <c r="Z15" i="4"/>
  <c r="X21" i="4"/>
  <c r="F24" i="5"/>
  <c r="F22" i="5"/>
  <c r="F21" i="5"/>
  <c r="D18" i="5"/>
  <c r="F15" i="5"/>
  <c r="F36" i="5"/>
  <c r="F33" i="5"/>
  <c r="F29" i="5"/>
  <c r="F25" i="5"/>
  <c r="L12" i="5"/>
  <c r="F34" i="5"/>
  <c r="F31" i="5"/>
  <c r="F27" i="5"/>
  <c r="F20" i="5"/>
  <c r="F18" i="5"/>
  <c r="F16" i="5"/>
  <c r="X16" i="5"/>
  <c r="X20" i="5"/>
  <c r="L15" i="8"/>
  <c r="L25" i="8"/>
  <c r="X29" i="8"/>
  <c r="Z33" i="8"/>
  <c r="L20" i="10"/>
  <c r="Z12" i="11"/>
  <c r="V36" i="11"/>
  <c r="V34" i="11"/>
  <c r="V33" i="11"/>
  <c r="V31" i="11"/>
  <c r="V29" i="11"/>
  <c r="V27" i="11"/>
  <c r="V25" i="11"/>
  <c r="V21" i="11"/>
  <c r="V20" i="11"/>
  <c r="V18" i="11"/>
  <c r="V16" i="11"/>
  <c r="T18" i="11"/>
  <c r="V15" i="11"/>
  <c r="V22" i="11"/>
  <c r="V24" i="11"/>
  <c r="N15" i="14"/>
  <c r="Z13" i="4"/>
  <c r="Z16" i="4"/>
  <c r="Z20" i="4"/>
  <c r="X22" i="4"/>
  <c r="X24" i="4"/>
  <c r="J36" i="5"/>
  <c r="J33" i="5"/>
  <c r="J29" i="5"/>
  <c r="J25" i="5"/>
  <c r="H18" i="5"/>
  <c r="J22" i="5"/>
  <c r="N12" i="5"/>
  <c r="J18" i="5"/>
  <c r="J34" i="5"/>
  <c r="J31" i="5"/>
  <c r="J27" i="5"/>
  <c r="J20" i="5"/>
  <c r="J16" i="5"/>
  <c r="J15" i="5"/>
  <c r="J24" i="5"/>
  <c r="J21" i="5"/>
  <c r="X13" i="5"/>
  <c r="Z15" i="5"/>
  <c r="Z24" i="5"/>
  <c r="L12" i="7"/>
  <c r="F24" i="7"/>
  <c r="F22" i="7"/>
  <c r="F21" i="7"/>
  <c r="F20" i="7"/>
  <c r="F18" i="7"/>
  <c r="F16" i="7"/>
  <c r="F34" i="7"/>
  <c r="F25" i="7"/>
  <c r="F29" i="7"/>
  <c r="F33" i="7"/>
  <c r="D18" i="7"/>
  <c r="F15" i="7"/>
  <c r="F36" i="7"/>
  <c r="F27" i="7"/>
  <c r="F31" i="7"/>
  <c r="Z24" i="7"/>
  <c r="L34" i="8"/>
  <c r="X13" i="10"/>
  <c r="X20" i="11"/>
  <c r="N21" i="13"/>
  <c r="L24" i="14"/>
  <c r="X25" i="16"/>
  <c r="N16" i="5"/>
  <c r="L33" i="8"/>
  <c r="Z21" i="4"/>
  <c r="X25" i="4"/>
  <c r="X29" i="4"/>
  <c r="X33" i="4"/>
  <c r="X34" i="4"/>
  <c r="Z13" i="5"/>
  <c r="Z16" i="5"/>
  <c r="N12" i="7"/>
  <c r="J36" i="7"/>
  <c r="J34" i="7"/>
  <c r="J33" i="7"/>
  <c r="J31" i="7"/>
  <c r="J29" i="7"/>
  <c r="J27" i="7"/>
  <c r="J25" i="7"/>
  <c r="J24" i="7"/>
  <c r="J22" i="7"/>
  <c r="J20" i="7"/>
  <c r="J18" i="7"/>
  <c r="J16" i="7"/>
  <c r="H18" i="7"/>
  <c r="J15" i="7"/>
  <c r="J21" i="7"/>
  <c r="Z15" i="7"/>
  <c r="X21" i="7"/>
  <c r="X25" i="8"/>
  <c r="Z29" i="8"/>
  <c r="Z13" i="10"/>
  <c r="Z20" i="10"/>
  <c r="X13" i="11"/>
  <c r="L22" i="13"/>
  <c r="N21" i="4"/>
  <c r="Z22" i="7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N22" i="5"/>
  <c r="R24" i="7"/>
  <c r="R22" i="7"/>
  <c r="R21" i="7"/>
  <c r="R25" i="7"/>
  <c r="X12" i="7"/>
  <c r="R31" i="7"/>
  <c r="R29" i="7"/>
  <c r="R33" i="7"/>
  <c r="R18" i="7"/>
  <c r="R20" i="7"/>
  <c r="P18" i="7"/>
  <c r="R15" i="7"/>
  <c r="R36" i="7"/>
  <c r="R16" i="7"/>
  <c r="R27" i="7"/>
  <c r="R34" i="7"/>
  <c r="Z33" i="7"/>
  <c r="X34" i="8"/>
  <c r="L15" i="11"/>
  <c r="Z25" i="11"/>
  <c r="Z33" i="11"/>
  <c r="L13" i="13"/>
  <c r="L33" i="13"/>
  <c r="N16" i="14"/>
  <c r="X33" i="16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R24" i="5"/>
  <c r="R21" i="5"/>
  <c r="R20" i="5"/>
  <c r="R22" i="5"/>
  <c r="X12" i="5"/>
  <c r="R34" i="5"/>
  <c r="R31" i="5"/>
  <c r="R27" i="5"/>
  <c r="R18" i="5"/>
  <c r="R16" i="5"/>
  <c r="P18" i="5"/>
  <c r="R15" i="5"/>
  <c r="R36" i="5"/>
  <c r="R33" i="5"/>
  <c r="R29" i="5"/>
  <c r="R25" i="5"/>
  <c r="V20" i="7"/>
  <c r="V18" i="7"/>
  <c r="V16" i="7"/>
  <c r="T18" i="7"/>
  <c r="V15" i="7"/>
  <c r="Z12" i="7"/>
  <c r="V29" i="7"/>
  <c r="V25" i="7"/>
  <c r="V33" i="7"/>
  <c r="V21" i="7"/>
  <c r="V22" i="7"/>
  <c r="V36" i="7"/>
  <c r="V24" i="7"/>
  <c r="V34" i="7"/>
  <c r="V27" i="7"/>
  <c r="V31" i="7"/>
  <c r="L12" i="8"/>
  <c r="F36" i="8"/>
  <c r="F34" i="8"/>
  <c r="F33" i="8"/>
  <c r="F31" i="8"/>
  <c r="F29" i="8"/>
  <c r="F27" i="8"/>
  <c r="F25" i="8"/>
  <c r="F21" i="8"/>
  <c r="F20" i="8"/>
  <c r="F18" i="8"/>
  <c r="F16" i="8"/>
  <c r="D18" i="8"/>
  <c r="F15" i="8"/>
  <c r="F22" i="8"/>
  <c r="F24" i="8"/>
  <c r="Z25" i="8"/>
  <c r="Z15" i="10"/>
  <c r="X21" i="10"/>
  <c r="L24" i="13"/>
  <c r="N24" i="4"/>
  <c r="L16" i="4"/>
  <c r="L20" i="4"/>
  <c r="V24" i="5"/>
  <c r="V22" i="5"/>
  <c r="V36" i="5"/>
  <c r="V18" i="5"/>
  <c r="V16" i="5"/>
  <c r="V34" i="5"/>
  <c r="V31" i="5"/>
  <c r="V27" i="5"/>
  <c r="T18" i="5"/>
  <c r="V15" i="5"/>
  <c r="V25" i="5"/>
  <c r="V20" i="5"/>
  <c r="V33" i="5"/>
  <c r="V21" i="5"/>
  <c r="V29" i="5"/>
  <c r="Z12" i="5"/>
  <c r="L15" i="5"/>
  <c r="L21" i="5"/>
  <c r="N25" i="5"/>
  <c r="N29" i="5"/>
  <c r="N33" i="5"/>
  <c r="L16" i="7"/>
  <c r="L20" i="7"/>
  <c r="Z29" i="7"/>
  <c r="X20" i="8"/>
  <c r="Z22" i="8"/>
  <c r="Z34" i="8"/>
  <c r="Z15" i="11"/>
  <c r="X21" i="11"/>
  <c r="L34" i="13"/>
  <c r="Z13" i="17"/>
  <c r="X16" i="19"/>
  <c r="L34" i="4"/>
  <c r="Z34" i="7"/>
  <c r="X22" i="10"/>
  <c r="N15" i="4"/>
  <c r="L21" i="4"/>
  <c r="L16" i="5"/>
  <c r="L20" i="5"/>
  <c r="N21" i="5"/>
  <c r="N13" i="7"/>
  <c r="N22" i="7"/>
  <c r="R21" i="8"/>
  <c r="R20" i="8"/>
  <c r="R18" i="8"/>
  <c r="R16" i="8"/>
  <c r="X12" i="8"/>
  <c r="R31" i="8"/>
  <c r="R34" i="8"/>
  <c r="R22" i="8"/>
  <c r="R25" i="8"/>
  <c r="R36" i="8"/>
  <c r="R15" i="8"/>
  <c r="R24" i="8"/>
  <c r="R29" i="8"/>
  <c r="P18" i="8"/>
  <c r="R33" i="8"/>
  <c r="R27" i="8"/>
  <c r="L16" i="10"/>
  <c r="Z34" i="11"/>
  <c r="N16" i="13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L12" i="10"/>
  <c r="X16" i="10"/>
  <c r="X20" i="10"/>
  <c r="X15" i="11"/>
  <c r="N25" i="11"/>
  <c r="N29" i="11"/>
  <c r="N33" i="11"/>
  <c r="N34" i="11"/>
  <c r="N15" i="13"/>
  <c r="L21" i="13"/>
  <c r="L16" i="14"/>
  <c r="L20" i="14"/>
  <c r="Z24" i="16"/>
  <c r="Z15" i="19"/>
  <c r="X34" i="19"/>
  <c r="Z33" i="20"/>
  <c r="N24" i="26"/>
  <c r="X21" i="5"/>
  <c r="N15" i="7"/>
  <c r="L21" i="7"/>
  <c r="L16" i="8"/>
  <c r="L20" i="8"/>
  <c r="Z21" i="10"/>
  <c r="X25" i="10"/>
  <c r="X29" i="10"/>
  <c r="X33" i="10"/>
  <c r="X34" i="10"/>
  <c r="Z13" i="11"/>
  <c r="Z16" i="11"/>
  <c r="Z20" i="11"/>
  <c r="X22" i="11"/>
  <c r="X24" i="11"/>
  <c r="N13" i="13"/>
  <c r="N22" i="13"/>
  <c r="N24" i="13"/>
  <c r="L13" i="14"/>
  <c r="N21" i="14"/>
  <c r="L25" i="14"/>
  <c r="L29" i="14"/>
  <c r="L33" i="14"/>
  <c r="L34" i="14"/>
  <c r="X25" i="17"/>
  <c r="X33" i="17"/>
  <c r="Z12" i="20"/>
  <c r="V29" i="20"/>
  <c r="V22" i="20"/>
  <c r="V34" i="20"/>
  <c r="V24" i="20"/>
  <c r="V31" i="20"/>
  <c r="V25" i="20"/>
  <c r="V15" i="20"/>
  <c r="V36" i="20"/>
  <c r="V16" i="20"/>
  <c r="V33" i="20"/>
  <c r="V27" i="20"/>
  <c r="V18" i="20"/>
  <c r="V21" i="20"/>
  <c r="V20" i="20"/>
  <c r="T18" i="20"/>
  <c r="L24" i="20"/>
  <c r="Z13" i="22"/>
  <c r="L34" i="26"/>
  <c r="Z29" i="29"/>
  <c r="Z20" i="5"/>
  <c r="X22" i="5"/>
  <c r="X24" i="5"/>
  <c r="N16" i="7"/>
  <c r="N20" i="7"/>
  <c r="L22" i="7"/>
  <c r="L24" i="7"/>
  <c r="N15" i="8"/>
  <c r="L21" i="8"/>
  <c r="R36" i="10"/>
  <c r="R34" i="10"/>
  <c r="R33" i="10"/>
  <c r="R31" i="10"/>
  <c r="R29" i="10"/>
  <c r="R27" i="10"/>
  <c r="R25" i="10"/>
  <c r="R24" i="10"/>
  <c r="R22" i="10"/>
  <c r="P18" i="10"/>
  <c r="R15" i="10"/>
  <c r="R21" i="10"/>
  <c r="R20" i="10"/>
  <c r="X12" i="10"/>
  <c r="R18" i="10"/>
  <c r="R16" i="10"/>
  <c r="Z22" i="10"/>
  <c r="Z24" i="10"/>
  <c r="Z21" i="11"/>
  <c r="X25" i="11"/>
  <c r="X29" i="11"/>
  <c r="X33" i="11"/>
  <c r="X34" i="11"/>
  <c r="X15" i="13"/>
  <c r="N25" i="13"/>
  <c r="N29" i="13"/>
  <c r="N33" i="13"/>
  <c r="N34" i="13"/>
  <c r="N13" i="14"/>
  <c r="N22" i="14"/>
  <c r="N24" i="14"/>
  <c r="N15" i="17"/>
  <c r="L21" i="17"/>
  <c r="N21" i="23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2" i="10"/>
  <c r="V24" i="10"/>
  <c r="V22" i="10"/>
  <c r="V21" i="10"/>
  <c r="V20" i="10"/>
  <c r="V18" i="10"/>
  <c r="V16" i="10"/>
  <c r="V34" i="10"/>
  <c r="V27" i="10"/>
  <c r="V15" i="10"/>
  <c r="V33" i="10"/>
  <c r="V25" i="10"/>
  <c r="V36" i="10"/>
  <c r="V31" i="10"/>
  <c r="T18" i="10"/>
  <c r="V29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15" i="11"/>
  <c r="R20" i="11"/>
  <c r="R18" i="11"/>
  <c r="P18" i="11"/>
  <c r="R16" i="11"/>
  <c r="Z22" i="11"/>
  <c r="Z24" i="11"/>
  <c r="D18" i="13"/>
  <c r="F15" i="13"/>
  <c r="L12" i="13"/>
  <c r="F36" i="13"/>
  <c r="F34" i="13"/>
  <c r="F33" i="13"/>
  <c r="F31" i="13"/>
  <c r="F29" i="13"/>
  <c r="F27" i="13"/>
  <c r="F25" i="13"/>
  <c r="F20" i="13"/>
  <c r="F18" i="13"/>
  <c r="F16" i="13"/>
  <c r="F24" i="13"/>
  <c r="F22" i="13"/>
  <c r="F21" i="13"/>
  <c r="X16" i="13"/>
  <c r="X20" i="13"/>
  <c r="X15" i="14"/>
  <c r="N25" i="14"/>
  <c r="N29" i="14"/>
  <c r="N33" i="14"/>
  <c r="N34" i="14"/>
  <c r="Z21" i="16"/>
  <c r="X34" i="16"/>
  <c r="X20" i="19"/>
  <c r="N25" i="20"/>
  <c r="X21" i="23"/>
  <c r="N12" i="13"/>
  <c r="J36" i="13"/>
  <c r="J34" i="13"/>
  <c r="J33" i="13"/>
  <c r="J31" i="13"/>
  <c r="J29" i="13"/>
  <c r="J27" i="13"/>
  <c r="J25" i="13"/>
  <c r="J24" i="13"/>
  <c r="J22" i="13"/>
  <c r="J21" i="13"/>
  <c r="J15" i="13"/>
  <c r="J18" i="13"/>
  <c r="J20" i="13"/>
  <c r="H18" i="13"/>
  <c r="J16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D18" i="14"/>
  <c r="F15" i="14"/>
  <c r="F20" i="14"/>
  <c r="F18" i="14"/>
  <c r="F16" i="14"/>
  <c r="F21" i="14"/>
  <c r="X16" i="14"/>
  <c r="X20" i="14"/>
  <c r="Z21" i="17"/>
  <c r="X34" i="17"/>
  <c r="N22" i="22"/>
  <c r="L25" i="23"/>
  <c r="Z25" i="5"/>
  <c r="Z29" i="5"/>
  <c r="Z33" i="5"/>
  <c r="Z34" i="5"/>
  <c r="X15" i="7"/>
  <c r="N25" i="7"/>
  <c r="N29" i="7"/>
  <c r="N33" i="7"/>
  <c r="N34" i="7"/>
  <c r="N13" i="8"/>
  <c r="N22" i="8"/>
  <c r="N24" i="8"/>
  <c r="N15" i="10"/>
  <c r="L21" i="10"/>
  <c r="L16" i="11"/>
  <c r="L20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N16" i="16"/>
  <c r="L22" i="16"/>
  <c r="F33" i="19"/>
  <c r="F31" i="19"/>
  <c r="F29" i="19"/>
  <c r="F27" i="19"/>
  <c r="F25" i="19"/>
  <c r="F34" i="19"/>
  <c r="F24" i="19"/>
  <c r="F22" i="19"/>
  <c r="F21" i="19"/>
  <c r="F36" i="19"/>
  <c r="F20" i="19"/>
  <c r="F18" i="19"/>
  <c r="F16" i="19"/>
  <c r="D18" i="19"/>
  <c r="F15" i="19"/>
  <c r="L12" i="19"/>
  <c r="X22" i="22"/>
  <c r="X15" i="8"/>
  <c r="N25" i="8"/>
  <c r="N29" i="8"/>
  <c r="N33" i="8"/>
  <c r="N34" i="8"/>
  <c r="N16" i="10"/>
  <c r="N20" i="10"/>
  <c r="L22" i="10"/>
  <c r="L24" i="10"/>
  <c r="N15" i="11"/>
  <c r="L21" i="11"/>
  <c r="Z21" i="13"/>
  <c r="X25" i="13"/>
  <c r="X29" i="13"/>
  <c r="X33" i="13"/>
  <c r="X34" i="13"/>
  <c r="Z13" i="14"/>
  <c r="Z16" i="14"/>
  <c r="Z20" i="14"/>
  <c r="X22" i="14"/>
  <c r="X24" i="14"/>
  <c r="X29" i="16"/>
  <c r="Z16" i="17"/>
  <c r="X22" i="17"/>
  <c r="J21" i="19"/>
  <c r="J36" i="19"/>
  <c r="J20" i="19"/>
  <c r="J18" i="19"/>
  <c r="J16" i="19"/>
  <c r="H18" i="19"/>
  <c r="J15" i="19"/>
  <c r="N12" i="19"/>
  <c r="J34" i="19"/>
  <c r="J24" i="19"/>
  <c r="J22" i="19"/>
  <c r="J33" i="19"/>
  <c r="J31" i="19"/>
  <c r="J29" i="19"/>
  <c r="J27" i="19"/>
  <c r="J25" i="19"/>
  <c r="X21" i="19"/>
  <c r="Z25" i="28"/>
  <c r="L13" i="10"/>
  <c r="N21" i="10"/>
  <c r="L25" i="10"/>
  <c r="L29" i="10"/>
  <c r="L33" i="10"/>
  <c r="L34" i="10"/>
  <c r="N16" i="11"/>
  <c r="N20" i="11"/>
  <c r="L22" i="11"/>
  <c r="L24" i="11"/>
  <c r="X12" i="13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Z22" i="13"/>
  <c r="Z24" i="13"/>
  <c r="Z21" i="14"/>
  <c r="X25" i="14"/>
  <c r="X29" i="14"/>
  <c r="X33" i="14"/>
  <c r="X34" i="14"/>
  <c r="Z22" i="16"/>
  <c r="X29" i="17"/>
  <c r="L22" i="5"/>
  <c r="L24" i="5"/>
  <c r="Z13" i="7"/>
  <c r="Z16" i="7"/>
  <c r="Z20" i="7"/>
  <c r="X22" i="7"/>
  <c r="X24" i="7"/>
  <c r="J24" i="8"/>
  <c r="J22" i="8"/>
  <c r="J21" i="8"/>
  <c r="H18" i="8"/>
  <c r="J15" i="8"/>
  <c r="J27" i="8"/>
  <c r="J16" i="8"/>
  <c r="N12" i="8"/>
  <c r="J33" i="8"/>
  <c r="J31" i="8"/>
  <c r="J20" i="8"/>
  <c r="J34" i="8"/>
  <c r="J25" i="8"/>
  <c r="J29" i="8"/>
  <c r="J18" i="8"/>
  <c r="J36" i="8"/>
  <c r="X13" i="8"/>
  <c r="Z15" i="8"/>
  <c r="X21" i="8"/>
  <c r="N13" i="10"/>
  <c r="N22" i="10"/>
  <c r="N24" i="10"/>
  <c r="L13" i="11"/>
  <c r="N21" i="11"/>
  <c r="L25" i="11"/>
  <c r="L29" i="11"/>
  <c r="L33" i="11"/>
  <c r="L34" i="11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L24" i="16"/>
  <c r="X13" i="19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5" i="10"/>
  <c r="N25" i="10"/>
  <c r="N29" i="10"/>
  <c r="N33" i="10"/>
  <c r="N34" i="10"/>
  <c r="N13" i="11"/>
  <c r="N22" i="11"/>
  <c r="N24" i="11"/>
  <c r="L16" i="13"/>
  <c r="L20" i="13"/>
  <c r="V24" i="14"/>
  <c r="V22" i="14"/>
  <c r="V21" i="14"/>
  <c r="V20" i="14"/>
  <c r="V18" i="14"/>
  <c r="V16" i="14"/>
  <c r="T18" i="14"/>
  <c r="V15" i="14"/>
  <c r="V36" i="14"/>
  <c r="V34" i="14"/>
  <c r="V33" i="14"/>
  <c r="V31" i="14"/>
  <c r="V29" i="14"/>
  <c r="V27" i="14"/>
  <c r="V25" i="14"/>
  <c r="Z12" i="14"/>
  <c r="L15" i="14"/>
  <c r="Z25" i="14"/>
  <c r="Z29" i="14"/>
  <c r="Z33" i="14"/>
  <c r="Z34" i="14"/>
  <c r="R20" i="16"/>
  <c r="R18" i="16"/>
  <c r="R16" i="16"/>
  <c r="P18" i="16"/>
  <c r="R15" i="16"/>
  <c r="X12" i="16"/>
  <c r="R21" i="16"/>
  <c r="R24" i="16"/>
  <c r="R36" i="16"/>
  <c r="R29" i="16"/>
  <c r="R22" i="16"/>
  <c r="R34" i="16"/>
  <c r="R27" i="16"/>
  <c r="R33" i="16"/>
  <c r="R25" i="16"/>
  <c r="R31" i="16"/>
  <c r="X24" i="17"/>
  <c r="X33" i="20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X13" i="17"/>
  <c r="Z15" i="17"/>
  <c r="X21" i="17"/>
  <c r="X15" i="19"/>
  <c r="N25" i="19"/>
  <c r="N29" i="19"/>
  <c r="N33" i="19"/>
  <c r="R36" i="20"/>
  <c r="R34" i="20"/>
  <c r="R33" i="20"/>
  <c r="R31" i="20"/>
  <c r="R29" i="20"/>
  <c r="R27" i="20"/>
  <c r="R25" i="20"/>
  <c r="R20" i="20"/>
  <c r="R18" i="20"/>
  <c r="R16" i="20"/>
  <c r="R21" i="20"/>
  <c r="R22" i="20"/>
  <c r="R24" i="20"/>
  <c r="R15" i="20"/>
  <c r="P18" i="20"/>
  <c r="X12" i="20"/>
  <c r="Z20" i="20"/>
  <c r="L13" i="22"/>
  <c r="L33" i="22"/>
  <c r="N16" i="23"/>
  <c r="N21" i="25"/>
  <c r="L25" i="25"/>
  <c r="N20" i="26"/>
  <c r="L24" i="26"/>
  <c r="L16" i="28"/>
  <c r="Z12" i="16"/>
  <c r="V36" i="16"/>
  <c r="V34" i="16"/>
  <c r="V33" i="16"/>
  <c r="V31" i="16"/>
  <c r="V29" i="16"/>
  <c r="V27" i="16"/>
  <c r="V25" i="16"/>
  <c r="V24" i="16"/>
  <c r="V22" i="16"/>
  <c r="T18" i="16"/>
  <c r="V15" i="16"/>
  <c r="V18" i="16"/>
  <c r="V16" i="16"/>
  <c r="V21" i="16"/>
  <c r="V20" i="16"/>
  <c r="L15" i="16"/>
  <c r="Z25" i="16"/>
  <c r="Z29" i="16"/>
  <c r="Z33" i="16"/>
  <c r="Z34" i="16"/>
  <c r="P18" i="17"/>
  <c r="R15" i="17"/>
  <c r="X12" i="17"/>
  <c r="R36" i="17"/>
  <c r="R34" i="17"/>
  <c r="R33" i="17"/>
  <c r="R31" i="17"/>
  <c r="R29" i="17"/>
  <c r="R27" i="17"/>
  <c r="R25" i="17"/>
  <c r="R20" i="17"/>
  <c r="R18" i="17"/>
  <c r="R16" i="17"/>
  <c r="R22" i="17"/>
  <c r="R21" i="17"/>
  <c r="R24" i="17"/>
  <c r="Z22" i="17"/>
  <c r="Z24" i="17"/>
  <c r="Z13" i="19"/>
  <c r="Z16" i="19"/>
  <c r="Z20" i="19"/>
  <c r="X22" i="19"/>
  <c r="X24" i="19"/>
  <c r="X33" i="19"/>
  <c r="X16" i="20"/>
  <c r="L22" i="20"/>
  <c r="N24" i="20"/>
  <c r="N20" i="22"/>
  <c r="L24" i="22"/>
  <c r="Z21" i="25"/>
  <c r="X25" i="25"/>
  <c r="Z20" i="26"/>
  <c r="X24" i="26"/>
  <c r="R21" i="29"/>
  <c r="R20" i="29"/>
  <c r="R18" i="29"/>
  <c r="R16" i="29"/>
  <c r="P18" i="29"/>
  <c r="R15" i="29"/>
  <c r="X12" i="29"/>
  <c r="R24" i="29"/>
  <c r="R22" i="29"/>
  <c r="R27" i="29"/>
  <c r="R36" i="29"/>
  <c r="R25" i="29"/>
  <c r="R34" i="29"/>
  <c r="R33" i="29"/>
  <c r="R31" i="29"/>
  <c r="R29" i="29"/>
  <c r="L16" i="16"/>
  <c r="L20" i="16"/>
  <c r="V36" i="17"/>
  <c r="V34" i="17"/>
  <c r="V33" i="17"/>
  <c r="V31" i="17"/>
  <c r="V29" i="17"/>
  <c r="V27" i="17"/>
  <c r="V25" i="17"/>
  <c r="V24" i="17"/>
  <c r="V22" i="17"/>
  <c r="V21" i="17"/>
  <c r="T18" i="17"/>
  <c r="V16" i="17"/>
  <c r="V15" i="17"/>
  <c r="V20" i="17"/>
  <c r="V18" i="17"/>
  <c r="Z12" i="17"/>
  <c r="L15" i="17"/>
  <c r="Z25" i="17"/>
  <c r="Z29" i="17"/>
  <c r="Z33" i="17"/>
  <c r="Z34" i="17"/>
  <c r="Z21" i="19"/>
  <c r="X25" i="19"/>
  <c r="X29" i="19"/>
  <c r="Z34" i="19"/>
  <c r="L13" i="20"/>
  <c r="X15" i="20"/>
  <c r="Z16" i="20"/>
  <c r="X25" i="20"/>
  <c r="L29" i="22"/>
  <c r="L34" i="22"/>
  <c r="L22" i="23"/>
  <c r="L13" i="25"/>
  <c r="L33" i="25"/>
  <c r="N16" i="26"/>
  <c r="L20" i="28"/>
  <c r="T18" i="29"/>
  <c r="V15" i="29"/>
  <c r="Z12" i="29"/>
  <c r="V36" i="29"/>
  <c r="V34" i="29"/>
  <c r="V33" i="29"/>
  <c r="V31" i="29"/>
  <c r="V29" i="29"/>
  <c r="V27" i="29"/>
  <c r="V25" i="29"/>
  <c r="V20" i="29"/>
  <c r="V18" i="29"/>
  <c r="V16" i="29"/>
  <c r="V24" i="29"/>
  <c r="V22" i="29"/>
  <c r="V21" i="29"/>
  <c r="N15" i="16"/>
  <c r="L21" i="16"/>
  <c r="L16" i="17"/>
  <c r="L20" i="17"/>
  <c r="X12" i="19"/>
  <c r="R31" i="19"/>
  <c r="R29" i="19"/>
  <c r="R27" i="19"/>
  <c r="R25" i="19"/>
  <c r="R33" i="19"/>
  <c r="R24" i="19"/>
  <c r="R22" i="19"/>
  <c r="R34" i="19"/>
  <c r="R21" i="19"/>
  <c r="R15" i="19"/>
  <c r="R20" i="19"/>
  <c r="R18" i="19"/>
  <c r="P18" i="19"/>
  <c r="R16" i="19"/>
  <c r="R36" i="19"/>
  <c r="Z22" i="19"/>
  <c r="Z24" i="19"/>
  <c r="Z33" i="19"/>
  <c r="N13" i="20"/>
  <c r="N22" i="20"/>
  <c r="Z25" i="20"/>
  <c r="L29" i="20"/>
  <c r="L34" i="20"/>
  <c r="N24" i="22"/>
  <c r="L13" i="23"/>
  <c r="L33" i="23"/>
  <c r="N13" i="25"/>
  <c r="N22" i="25"/>
  <c r="N21" i="26"/>
  <c r="L25" i="26"/>
  <c r="Z29" i="28"/>
  <c r="Z22" i="29"/>
  <c r="L13" i="31"/>
  <c r="Z21" i="37"/>
  <c r="Z12" i="19"/>
  <c r="V31" i="19"/>
  <c r="V29" i="19"/>
  <c r="V27" i="19"/>
  <c r="V25" i="19"/>
  <c r="V33" i="19"/>
  <c r="V24" i="19"/>
  <c r="V22" i="19"/>
  <c r="V34" i="19"/>
  <c r="V21" i="19"/>
  <c r="V20" i="19"/>
  <c r="V18" i="19"/>
  <c r="V16" i="19"/>
  <c r="V36" i="19"/>
  <c r="T18" i="19"/>
  <c r="V15" i="19"/>
  <c r="L15" i="19"/>
  <c r="Z25" i="19"/>
  <c r="Z29" i="19"/>
  <c r="L20" i="20"/>
  <c r="N21" i="20"/>
  <c r="X24" i="20"/>
  <c r="Z20" i="22"/>
  <c r="X24" i="22"/>
  <c r="X13" i="23"/>
  <c r="N33" i="25"/>
  <c r="L15" i="29"/>
  <c r="Z33" i="29"/>
  <c r="L13" i="16"/>
  <c r="N21" i="16"/>
  <c r="L25" i="16"/>
  <c r="L29" i="16"/>
  <c r="L33" i="16"/>
  <c r="L34" i="16"/>
  <c r="N16" i="17"/>
  <c r="N20" i="17"/>
  <c r="L22" i="17"/>
  <c r="L24" i="17"/>
  <c r="L16" i="19"/>
  <c r="L20" i="19"/>
  <c r="N20" i="20"/>
  <c r="N16" i="22"/>
  <c r="N15" i="23"/>
  <c r="X33" i="25"/>
  <c r="Z16" i="26"/>
  <c r="V20" i="28"/>
  <c r="V18" i="28"/>
  <c r="V16" i="28"/>
  <c r="T18" i="28"/>
  <c r="V15" i="28"/>
  <c r="Z12" i="28"/>
  <c r="V21" i="28"/>
  <c r="V24" i="28"/>
  <c r="V33" i="28"/>
  <c r="V22" i="28"/>
  <c r="V31" i="28"/>
  <c r="V29" i="28"/>
  <c r="V27" i="28"/>
  <c r="V34" i="28"/>
  <c r="V36" i="28"/>
  <c r="V25" i="28"/>
  <c r="Z24" i="29"/>
  <c r="L20" i="32"/>
  <c r="N25" i="35"/>
  <c r="N13" i="16"/>
  <c r="N22" i="16"/>
  <c r="N24" i="16"/>
  <c r="L13" i="17"/>
  <c r="N21" i="17"/>
  <c r="L25" i="17"/>
  <c r="L29" i="17"/>
  <c r="L33" i="17"/>
  <c r="L34" i="17"/>
  <c r="N15" i="19"/>
  <c r="L21" i="19"/>
  <c r="Z13" i="20"/>
  <c r="X22" i="20"/>
  <c r="X34" i="20"/>
  <c r="N21" i="22"/>
  <c r="L25" i="22"/>
  <c r="N20" i="23"/>
  <c r="L24" i="23"/>
  <c r="L29" i="25"/>
  <c r="L34" i="25"/>
  <c r="L22" i="26"/>
  <c r="Z34" i="29"/>
  <c r="X15" i="16"/>
  <c r="N25" i="16"/>
  <c r="N29" i="16"/>
  <c r="N33" i="16"/>
  <c r="N34" i="16"/>
  <c r="N13" i="17"/>
  <c r="N22" i="17"/>
  <c r="N24" i="17"/>
  <c r="N16" i="19"/>
  <c r="N20" i="19"/>
  <c r="L22" i="19"/>
  <c r="L24" i="19"/>
  <c r="L34" i="19"/>
  <c r="F20" i="20"/>
  <c r="F18" i="20"/>
  <c r="F16" i="20"/>
  <c r="F33" i="20"/>
  <c r="L12" i="20"/>
  <c r="F27" i="20"/>
  <c r="D18" i="20"/>
  <c r="F34" i="20"/>
  <c r="F29" i="20"/>
  <c r="F21" i="20"/>
  <c r="F22" i="20"/>
  <c r="F25" i="20"/>
  <c r="F15" i="20"/>
  <c r="F31" i="20"/>
  <c r="F24" i="20"/>
  <c r="F36" i="20"/>
  <c r="X29" i="20"/>
  <c r="L33" i="20"/>
  <c r="Z34" i="20"/>
  <c r="L29" i="23"/>
  <c r="L34" i="23"/>
  <c r="N24" i="25"/>
  <c r="L13" i="26"/>
  <c r="L33" i="26"/>
  <c r="L15" i="28"/>
  <c r="Z33" i="28"/>
  <c r="L21" i="31"/>
  <c r="F36" i="16"/>
  <c r="F34" i="16"/>
  <c r="F33" i="16"/>
  <c r="F31" i="16"/>
  <c r="F29" i="16"/>
  <c r="F27" i="16"/>
  <c r="F25" i="16"/>
  <c r="F24" i="16"/>
  <c r="F22" i="16"/>
  <c r="F20" i="16"/>
  <c r="F18" i="16"/>
  <c r="F16" i="16"/>
  <c r="D18" i="16"/>
  <c r="F15" i="16"/>
  <c r="L12" i="16"/>
  <c r="F21" i="16"/>
  <c r="X16" i="16"/>
  <c r="X20" i="16"/>
  <c r="X15" i="17"/>
  <c r="N25" i="17"/>
  <c r="N29" i="17"/>
  <c r="N33" i="17"/>
  <c r="N34" i="17"/>
  <c r="L13" i="19"/>
  <c r="N21" i="19"/>
  <c r="L25" i="19"/>
  <c r="L29" i="19"/>
  <c r="L33" i="19"/>
  <c r="L16" i="20"/>
  <c r="Z22" i="20"/>
  <c r="Z29" i="20"/>
  <c r="Z16" i="22"/>
  <c r="Z15" i="23"/>
  <c r="X15" i="25"/>
  <c r="N29" i="25"/>
  <c r="N34" i="25"/>
  <c r="N13" i="26"/>
  <c r="N22" i="26"/>
  <c r="Z25" i="29"/>
  <c r="N33" i="34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N12" i="16"/>
  <c r="J15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D18" i="17"/>
  <c r="F15" i="17"/>
  <c r="L12" i="17"/>
  <c r="F18" i="17"/>
  <c r="F16" i="17"/>
  <c r="F20" i="17"/>
  <c r="X16" i="17"/>
  <c r="X20" i="17"/>
  <c r="N13" i="19"/>
  <c r="N22" i="19"/>
  <c r="N24" i="19"/>
  <c r="N34" i="19"/>
  <c r="L15" i="20"/>
  <c r="N16" i="20"/>
  <c r="X20" i="20"/>
  <c r="Z21" i="20"/>
  <c r="L25" i="20"/>
  <c r="L22" i="22"/>
  <c r="L21" i="23"/>
  <c r="X29" i="25"/>
  <c r="X34" i="25"/>
  <c r="Z13" i="26"/>
  <c r="X22" i="26"/>
  <c r="Z34" i="28"/>
  <c r="R24" i="28"/>
  <c r="R22" i="28"/>
  <c r="R21" i="28"/>
  <c r="R20" i="28"/>
  <c r="R18" i="28"/>
  <c r="R16" i="28"/>
  <c r="P18" i="28"/>
  <c r="R15" i="28"/>
  <c r="R36" i="28"/>
  <c r="R34" i="28"/>
  <c r="R33" i="28"/>
  <c r="R31" i="28"/>
  <c r="R29" i="28"/>
  <c r="R27" i="28"/>
  <c r="R25" i="28"/>
  <c r="X12" i="28"/>
  <c r="Z22" i="28"/>
  <c r="Z24" i="28"/>
  <c r="Z21" i="29"/>
  <c r="X25" i="29"/>
  <c r="X29" i="29"/>
  <c r="X33" i="29"/>
  <c r="X34" i="29"/>
  <c r="N16" i="31"/>
  <c r="L29" i="31"/>
  <c r="L34" i="31"/>
  <c r="L22" i="32"/>
  <c r="N13" i="34"/>
  <c r="N22" i="34"/>
  <c r="N21" i="35"/>
  <c r="L25" i="35"/>
  <c r="X29" i="37"/>
  <c r="Z13" i="38"/>
  <c r="Z24" i="38"/>
  <c r="Z33" i="40"/>
  <c r="N29" i="20"/>
  <c r="N33" i="20"/>
  <c r="N34" i="20"/>
  <c r="X15" i="22"/>
  <c r="N25" i="22"/>
  <c r="N29" i="22"/>
  <c r="N33" i="22"/>
  <c r="N34" i="22"/>
  <c r="N13" i="23"/>
  <c r="N22" i="23"/>
  <c r="N24" i="23"/>
  <c r="F21" i="25"/>
  <c r="F20" i="25"/>
  <c r="F18" i="25"/>
  <c r="F16" i="25"/>
  <c r="D18" i="25"/>
  <c r="F15" i="25"/>
  <c r="L12" i="25"/>
  <c r="F34" i="25"/>
  <c r="F29" i="25"/>
  <c r="F24" i="25"/>
  <c r="F33" i="25"/>
  <c r="F27" i="25"/>
  <c r="F22" i="25"/>
  <c r="F36" i="25"/>
  <c r="F31" i="25"/>
  <c r="F25" i="25"/>
  <c r="X16" i="25"/>
  <c r="X20" i="25"/>
  <c r="X15" i="26"/>
  <c r="N25" i="26"/>
  <c r="N29" i="26"/>
  <c r="N33" i="26"/>
  <c r="N34" i="26"/>
  <c r="N15" i="28"/>
  <c r="L21" i="28"/>
  <c r="L16" i="29"/>
  <c r="L20" i="29"/>
  <c r="N15" i="32"/>
  <c r="Z22" i="34"/>
  <c r="Z21" i="35"/>
  <c r="X25" i="35"/>
  <c r="R20" i="37"/>
  <c r="R18" i="37"/>
  <c r="R16" i="37"/>
  <c r="P18" i="37"/>
  <c r="R15" i="37"/>
  <c r="X12" i="37"/>
  <c r="R21" i="37"/>
  <c r="R27" i="37"/>
  <c r="R36" i="37"/>
  <c r="R25" i="37"/>
  <c r="R34" i="37"/>
  <c r="R24" i="37"/>
  <c r="R33" i="37"/>
  <c r="R22" i="37"/>
  <c r="R31" i="37"/>
  <c r="R29" i="37"/>
  <c r="N15" i="41"/>
  <c r="F20" i="22"/>
  <c r="F18" i="22"/>
  <c r="F16" i="22"/>
  <c r="D18" i="22"/>
  <c r="F15" i="22"/>
  <c r="L12" i="22"/>
  <c r="F36" i="22"/>
  <c r="F31" i="22"/>
  <c r="F25" i="22"/>
  <c r="F21" i="22"/>
  <c r="F34" i="22"/>
  <c r="F29" i="22"/>
  <c r="F24" i="22"/>
  <c r="F22" i="22"/>
  <c r="F33" i="22"/>
  <c r="F27" i="22"/>
  <c r="X16" i="22"/>
  <c r="X20" i="22"/>
  <c r="X15" i="23"/>
  <c r="N25" i="23"/>
  <c r="N29" i="23"/>
  <c r="N33" i="23"/>
  <c r="N34" i="23"/>
  <c r="H18" i="25"/>
  <c r="J15" i="25"/>
  <c r="J36" i="25"/>
  <c r="J34" i="25"/>
  <c r="J33" i="25"/>
  <c r="J31" i="25"/>
  <c r="J29" i="25"/>
  <c r="J27" i="25"/>
  <c r="J25" i="25"/>
  <c r="J24" i="25"/>
  <c r="J20" i="25"/>
  <c r="J22" i="25"/>
  <c r="J18" i="25"/>
  <c r="N12" i="25"/>
  <c r="J16" i="25"/>
  <c r="J21" i="25"/>
  <c r="X13" i="25"/>
  <c r="Z15" i="25"/>
  <c r="X21" i="25"/>
  <c r="F20" i="26"/>
  <c r="F18" i="26"/>
  <c r="F16" i="26"/>
  <c r="D18" i="26"/>
  <c r="F15" i="26"/>
  <c r="F33" i="26"/>
  <c r="F27" i="26"/>
  <c r="F22" i="26"/>
  <c r="L12" i="26"/>
  <c r="F36" i="26"/>
  <c r="F31" i="26"/>
  <c r="F25" i="26"/>
  <c r="F21" i="26"/>
  <c r="F24" i="26"/>
  <c r="F34" i="26"/>
  <c r="F29" i="26"/>
  <c r="X16" i="26"/>
  <c r="X20" i="26"/>
  <c r="N16" i="28"/>
  <c r="N20" i="28"/>
  <c r="L22" i="28"/>
  <c r="L24" i="28"/>
  <c r="N15" i="29"/>
  <c r="L21" i="29"/>
  <c r="X13" i="31"/>
  <c r="N21" i="31"/>
  <c r="L25" i="31"/>
  <c r="N20" i="32"/>
  <c r="L24" i="32"/>
  <c r="N24" i="34"/>
  <c r="L13" i="35"/>
  <c r="L33" i="35"/>
  <c r="X33" i="37"/>
  <c r="Z16" i="38"/>
  <c r="J36" i="20"/>
  <c r="J34" i="20"/>
  <c r="J33" i="20"/>
  <c r="J27" i="20"/>
  <c r="N12" i="20"/>
  <c r="J18" i="20"/>
  <c r="H18" i="20"/>
  <c r="J20" i="20"/>
  <c r="J29" i="20"/>
  <c r="J21" i="20"/>
  <c r="J22" i="20"/>
  <c r="J24" i="20"/>
  <c r="J31" i="20"/>
  <c r="J16" i="20"/>
  <c r="J25" i="20"/>
  <c r="J15" i="20"/>
  <c r="X13" i="20"/>
  <c r="Z15" i="20"/>
  <c r="X21" i="20"/>
  <c r="N12" i="22"/>
  <c r="J36" i="22"/>
  <c r="J34" i="22"/>
  <c r="J33" i="22"/>
  <c r="J31" i="22"/>
  <c r="J29" i="22"/>
  <c r="J27" i="22"/>
  <c r="J25" i="22"/>
  <c r="J24" i="22"/>
  <c r="J22" i="22"/>
  <c r="H18" i="22"/>
  <c r="J21" i="22"/>
  <c r="J16" i="22"/>
  <c r="J20" i="22"/>
  <c r="J15" i="22"/>
  <c r="J18" i="22"/>
  <c r="X13" i="22"/>
  <c r="Z15" i="22"/>
  <c r="X21" i="22"/>
  <c r="D18" i="23"/>
  <c r="F15" i="23"/>
  <c r="L12" i="23"/>
  <c r="F36" i="23"/>
  <c r="F34" i="23"/>
  <c r="F33" i="23"/>
  <c r="F31" i="23"/>
  <c r="F29" i="23"/>
  <c r="F27" i="23"/>
  <c r="F25" i="23"/>
  <c r="F16" i="23"/>
  <c r="F24" i="23"/>
  <c r="F20" i="23"/>
  <c r="F22" i="23"/>
  <c r="F18" i="23"/>
  <c r="F21" i="23"/>
  <c r="X16" i="23"/>
  <c r="X20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18" i="26"/>
  <c r="H18" i="26"/>
  <c r="J21" i="26"/>
  <c r="J16" i="26"/>
  <c r="J15" i="26"/>
  <c r="J20" i="26"/>
  <c r="X13" i="26"/>
  <c r="Z15" i="26"/>
  <c r="X21" i="26"/>
  <c r="L13" i="28"/>
  <c r="N21" i="28"/>
  <c r="L25" i="28"/>
  <c r="L29" i="28"/>
  <c r="L33" i="28"/>
  <c r="L34" i="28"/>
  <c r="N16" i="29"/>
  <c r="N20" i="29"/>
  <c r="L22" i="29"/>
  <c r="L24" i="29"/>
  <c r="X21" i="31"/>
  <c r="X20" i="32"/>
  <c r="X15" i="34"/>
  <c r="N29" i="34"/>
  <c r="N34" i="34"/>
  <c r="N13" i="35"/>
  <c r="N22" i="35"/>
  <c r="Z22" i="37"/>
  <c r="L21" i="41"/>
  <c r="N13" i="28"/>
  <c r="N22" i="28"/>
  <c r="N24" i="28"/>
  <c r="L13" i="29"/>
  <c r="N21" i="29"/>
  <c r="L25" i="29"/>
  <c r="L29" i="29"/>
  <c r="L33" i="29"/>
  <c r="L34" i="29"/>
  <c r="N15" i="31"/>
  <c r="L16" i="32"/>
  <c r="X20" i="34"/>
  <c r="N33" i="35"/>
  <c r="X34" i="37"/>
  <c r="L15" i="40"/>
  <c r="X29" i="41"/>
  <c r="Z21" i="22"/>
  <c r="X25" i="22"/>
  <c r="X29" i="22"/>
  <c r="X33" i="22"/>
  <c r="X34" i="22"/>
  <c r="Z13" i="23"/>
  <c r="Z16" i="23"/>
  <c r="Z20" i="23"/>
  <c r="X22" i="23"/>
  <c r="X24" i="23"/>
  <c r="X12" i="25"/>
  <c r="R36" i="25"/>
  <c r="R34" i="25"/>
  <c r="R33" i="25"/>
  <c r="R31" i="25"/>
  <c r="R29" i="25"/>
  <c r="R27" i="25"/>
  <c r="R25" i="25"/>
  <c r="R21" i="25"/>
  <c r="R20" i="25"/>
  <c r="R18" i="25"/>
  <c r="R16" i="25"/>
  <c r="P18" i="25"/>
  <c r="R15" i="25"/>
  <c r="R24" i="25"/>
  <c r="R22" i="25"/>
  <c r="Z22" i="25"/>
  <c r="Z24" i="25"/>
  <c r="Z21" i="26"/>
  <c r="X25" i="26"/>
  <c r="X29" i="26"/>
  <c r="X33" i="26"/>
  <c r="X34" i="26"/>
  <c r="X15" i="28"/>
  <c r="N25" i="28"/>
  <c r="N29" i="28"/>
  <c r="N33" i="28"/>
  <c r="N34" i="28"/>
  <c r="N13" i="29"/>
  <c r="N22" i="29"/>
  <c r="N24" i="29"/>
  <c r="L22" i="31"/>
  <c r="L21" i="32"/>
  <c r="Z24" i="34"/>
  <c r="X33" i="35"/>
  <c r="Z24" i="37"/>
  <c r="Z16" i="43"/>
  <c r="Z24" i="20"/>
  <c r="X12" i="22"/>
  <c r="R36" i="22"/>
  <c r="R34" i="22"/>
  <c r="R33" i="22"/>
  <c r="R31" i="22"/>
  <c r="R29" i="22"/>
  <c r="R27" i="22"/>
  <c r="R25" i="22"/>
  <c r="R24" i="22"/>
  <c r="R22" i="22"/>
  <c r="R20" i="22"/>
  <c r="R18" i="22"/>
  <c r="R16" i="22"/>
  <c r="P18" i="22"/>
  <c r="R15" i="22"/>
  <c r="R21" i="22"/>
  <c r="Z22" i="22"/>
  <c r="Z24" i="22"/>
  <c r="Z21" i="23"/>
  <c r="X25" i="23"/>
  <c r="X29" i="23"/>
  <c r="X33" i="23"/>
  <c r="X34" i="23"/>
  <c r="Z12" i="25"/>
  <c r="V36" i="25"/>
  <c r="V34" i="25"/>
  <c r="V33" i="25"/>
  <c r="V31" i="25"/>
  <c r="V29" i="25"/>
  <c r="V27" i="25"/>
  <c r="V25" i="25"/>
  <c r="V24" i="25"/>
  <c r="V22" i="25"/>
  <c r="V21" i="25"/>
  <c r="T18" i="25"/>
  <c r="V15" i="25"/>
  <c r="V20" i="25"/>
  <c r="V18" i="25"/>
  <c r="V16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0" i="26"/>
  <c r="R18" i="26"/>
  <c r="R16" i="26"/>
  <c r="P18" i="26"/>
  <c r="R15" i="26"/>
  <c r="R21" i="26"/>
  <c r="Z22" i="26"/>
  <c r="Z24" i="26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F15" i="28"/>
  <c r="D18" i="28"/>
  <c r="X16" i="28"/>
  <c r="X20" i="28"/>
  <c r="X15" i="29"/>
  <c r="N25" i="29"/>
  <c r="N29" i="29"/>
  <c r="N33" i="29"/>
  <c r="N34" i="29"/>
  <c r="L33" i="31"/>
  <c r="N16" i="32"/>
  <c r="L29" i="35"/>
  <c r="L34" i="35"/>
  <c r="X25" i="37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V15" i="22"/>
  <c r="T18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P18" i="23"/>
  <c r="R15" i="23"/>
  <c r="R20" i="23"/>
  <c r="R18" i="23"/>
  <c r="R16" i="23"/>
  <c r="Z22" i="23"/>
  <c r="Z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N12" i="28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X13" i="28"/>
  <c r="Z15" i="28"/>
  <c r="X21" i="28"/>
  <c r="L12" i="29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X16" i="29"/>
  <c r="X20" i="29"/>
  <c r="X15" i="31"/>
  <c r="L12" i="32"/>
  <c r="F36" i="32"/>
  <c r="F34" i="32"/>
  <c r="F33" i="32"/>
  <c r="F31" i="32"/>
  <c r="F29" i="32"/>
  <c r="F27" i="32"/>
  <c r="F25" i="32"/>
  <c r="F24" i="32"/>
  <c r="F22" i="32"/>
  <c r="F18" i="32"/>
  <c r="D18" i="32"/>
  <c r="F21" i="32"/>
  <c r="F16" i="32"/>
  <c r="F20" i="32"/>
  <c r="F15" i="32"/>
  <c r="X16" i="32"/>
  <c r="N25" i="34"/>
  <c r="N24" i="35"/>
  <c r="L16" i="22"/>
  <c r="L20" i="22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Z12" i="23"/>
  <c r="L15" i="23"/>
  <c r="Z25" i="23"/>
  <c r="Z29" i="23"/>
  <c r="Z33" i="23"/>
  <c r="Z34" i="23"/>
  <c r="N15" i="25"/>
  <c r="L21" i="25"/>
  <c r="L16" i="26"/>
  <c r="L20" i="26"/>
  <c r="Z13" i="28"/>
  <c r="Z16" i="28"/>
  <c r="Z20" i="28"/>
  <c r="X22" i="28"/>
  <c r="X24" i="28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N12" i="29"/>
  <c r="X13" i="29"/>
  <c r="Z15" i="29"/>
  <c r="X21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5" i="31"/>
  <c r="J18" i="31"/>
  <c r="H18" i="31"/>
  <c r="J16" i="31"/>
  <c r="Z15" i="31"/>
  <c r="N20" i="31"/>
  <c r="F24" i="34"/>
  <c r="F22" i="34"/>
  <c r="F21" i="34"/>
  <c r="F20" i="34"/>
  <c r="F18" i="34"/>
  <c r="F16" i="34"/>
  <c r="D18" i="34"/>
  <c r="F15" i="34"/>
  <c r="L12" i="34"/>
  <c r="F36" i="34"/>
  <c r="F31" i="34"/>
  <c r="F25" i="34"/>
  <c r="F34" i="34"/>
  <c r="F29" i="34"/>
  <c r="F33" i="34"/>
  <c r="F27" i="34"/>
  <c r="X16" i="34"/>
  <c r="X15" i="35"/>
  <c r="N29" i="35"/>
  <c r="N34" i="35"/>
  <c r="Z25" i="40"/>
  <c r="N15" i="20"/>
  <c r="L21" i="20"/>
  <c r="N15" i="22"/>
  <c r="L21" i="22"/>
  <c r="L16" i="23"/>
  <c r="L20" i="23"/>
  <c r="N16" i="25"/>
  <c r="N20" i="25"/>
  <c r="L22" i="25"/>
  <c r="L24" i="25"/>
  <c r="N15" i="26"/>
  <c r="L21" i="26"/>
  <c r="Z21" i="28"/>
  <c r="X25" i="28"/>
  <c r="X29" i="28"/>
  <c r="X33" i="28"/>
  <c r="X34" i="28"/>
  <c r="Z13" i="29"/>
  <c r="Z16" i="29"/>
  <c r="Z20" i="29"/>
  <c r="X22" i="29"/>
  <c r="X24" i="29"/>
  <c r="X12" i="31"/>
  <c r="R36" i="31"/>
  <c r="R34" i="31"/>
  <c r="R33" i="31"/>
  <c r="R31" i="31"/>
  <c r="R29" i="31"/>
  <c r="R27" i="31"/>
  <c r="R25" i="31"/>
  <c r="R24" i="31"/>
  <c r="R22" i="31"/>
  <c r="R21" i="31"/>
  <c r="P18" i="31"/>
  <c r="R15" i="31"/>
  <c r="R18" i="31"/>
  <c r="R16" i="31"/>
  <c r="R20" i="31"/>
  <c r="L24" i="31"/>
  <c r="X12" i="34"/>
  <c r="R24" i="34"/>
  <c r="R22" i="34"/>
  <c r="R21" i="34"/>
  <c r="R20" i="34"/>
  <c r="R18" i="34"/>
  <c r="R16" i="34"/>
  <c r="R36" i="34"/>
  <c r="R31" i="34"/>
  <c r="R25" i="34"/>
  <c r="R34" i="34"/>
  <c r="R29" i="34"/>
  <c r="R15" i="34"/>
  <c r="R33" i="34"/>
  <c r="R27" i="34"/>
  <c r="P18" i="34"/>
  <c r="X29" i="35"/>
  <c r="X34" i="35"/>
  <c r="N15" i="47"/>
  <c r="Z13" i="37"/>
  <c r="Z16" i="37"/>
  <c r="Z20" i="37"/>
  <c r="X22" i="37"/>
  <c r="X24" i="37"/>
  <c r="J36" i="38"/>
  <c r="J33" i="38"/>
  <c r="J29" i="38"/>
  <c r="J24" i="38"/>
  <c r="J16" i="38"/>
  <c r="J18" i="38"/>
  <c r="J15" i="38"/>
  <c r="J25" i="38"/>
  <c r="H18" i="38"/>
  <c r="J34" i="38"/>
  <c r="J31" i="38"/>
  <c r="J20" i="38"/>
  <c r="J21" i="38"/>
  <c r="N12" i="38"/>
  <c r="J22" i="38"/>
  <c r="J27" i="38"/>
  <c r="X13" i="38"/>
  <c r="Z15" i="38"/>
  <c r="N22" i="38"/>
  <c r="X24" i="38"/>
  <c r="N13" i="31"/>
  <c r="N22" i="31"/>
  <c r="N24" i="31"/>
  <c r="L13" i="32"/>
  <c r="N21" i="32"/>
  <c r="L25" i="32"/>
  <c r="L29" i="32"/>
  <c r="L33" i="32"/>
  <c r="L34" i="32"/>
  <c r="J20" i="34"/>
  <c r="J18" i="34"/>
  <c r="J16" i="34"/>
  <c r="H18" i="34"/>
  <c r="J15" i="34"/>
  <c r="N12" i="34"/>
  <c r="J36" i="34"/>
  <c r="J31" i="34"/>
  <c r="J25" i="34"/>
  <c r="J21" i="34"/>
  <c r="J34" i="34"/>
  <c r="J29" i="34"/>
  <c r="J24" i="34"/>
  <c r="J33" i="34"/>
  <c r="J27" i="34"/>
  <c r="J22" i="34"/>
  <c r="X13" i="34"/>
  <c r="Z15" i="34"/>
  <c r="X21" i="34"/>
  <c r="F21" i="35"/>
  <c r="F20" i="35"/>
  <c r="F18" i="35"/>
  <c r="F16" i="35"/>
  <c r="D18" i="35"/>
  <c r="F15" i="35"/>
  <c r="L12" i="35"/>
  <c r="F34" i="35"/>
  <c r="F29" i="35"/>
  <c r="F24" i="35"/>
  <c r="F33" i="35"/>
  <c r="F27" i="35"/>
  <c r="F22" i="35"/>
  <c r="F36" i="35"/>
  <c r="F31" i="35"/>
  <c r="F25" i="35"/>
  <c r="X16" i="35"/>
  <c r="X20" i="35"/>
  <c r="Z12" i="37"/>
  <c r="V36" i="37"/>
  <c r="V34" i="37"/>
  <c r="V33" i="37"/>
  <c r="V31" i="37"/>
  <c r="V29" i="37"/>
  <c r="V27" i="37"/>
  <c r="V25" i="37"/>
  <c r="V24" i="37"/>
  <c r="V22" i="37"/>
  <c r="T18" i="37"/>
  <c r="V15" i="37"/>
  <c r="V18" i="37"/>
  <c r="V16" i="37"/>
  <c r="V21" i="37"/>
  <c r="V20" i="37"/>
  <c r="L15" i="37"/>
  <c r="Z25" i="37"/>
  <c r="Z29" i="37"/>
  <c r="Z33" i="37"/>
  <c r="Z34" i="37"/>
  <c r="R24" i="38"/>
  <c r="R22" i="38"/>
  <c r="R18" i="38"/>
  <c r="R15" i="38"/>
  <c r="P18" i="38"/>
  <c r="R25" i="38"/>
  <c r="R20" i="38"/>
  <c r="R34" i="38"/>
  <c r="R31" i="38"/>
  <c r="R21" i="38"/>
  <c r="R27" i="38"/>
  <c r="X12" i="38"/>
  <c r="R16" i="38"/>
  <c r="R36" i="38"/>
  <c r="R33" i="38"/>
  <c r="R29" i="38"/>
  <c r="L20" i="38"/>
  <c r="Z21" i="41"/>
  <c r="N25" i="31"/>
  <c r="N29" i="31"/>
  <c r="N33" i="31"/>
  <c r="N34" i="31"/>
  <c r="N13" i="32"/>
  <c r="N22" i="32"/>
  <c r="N24" i="32"/>
  <c r="Z13" i="34"/>
  <c r="Z16" i="34"/>
  <c r="Z20" i="34"/>
  <c r="X22" i="34"/>
  <c r="X24" i="34"/>
  <c r="H18" i="35"/>
  <c r="J15" i="35"/>
  <c r="J36" i="35"/>
  <c r="J34" i="35"/>
  <c r="J33" i="35"/>
  <c r="J31" i="35"/>
  <c r="J29" i="35"/>
  <c r="J27" i="35"/>
  <c r="J25" i="35"/>
  <c r="J24" i="35"/>
  <c r="J20" i="35"/>
  <c r="J22" i="35"/>
  <c r="J18" i="35"/>
  <c r="N12" i="35"/>
  <c r="J16" i="35"/>
  <c r="J21" i="35"/>
  <c r="X13" i="35"/>
  <c r="Z15" i="35"/>
  <c r="X21" i="35"/>
  <c r="L16" i="37"/>
  <c r="L20" i="37"/>
  <c r="V24" i="38"/>
  <c r="V22" i="38"/>
  <c r="V20" i="38"/>
  <c r="V25" i="38"/>
  <c r="V21" i="38"/>
  <c r="V34" i="38"/>
  <c r="V31" i="38"/>
  <c r="V27" i="38"/>
  <c r="Z12" i="38"/>
  <c r="T18" i="38"/>
  <c r="V36" i="38"/>
  <c r="V33" i="38"/>
  <c r="V18" i="38"/>
  <c r="V29" i="38"/>
  <c r="V16" i="38"/>
  <c r="V15" i="38"/>
  <c r="L15" i="38"/>
  <c r="N20" i="38"/>
  <c r="X22" i="38"/>
  <c r="N34" i="38"/>
  <c r="Z34" i="40"/>
  <c r="X22" i="43"/>
  <c r="D18" i="31"/>
  <c r="F15" i="31"/>
  <c r="L12" i="31"/>
  <c r="F36" i="31"/>
  <c r="F34" i="31"/>
  <c r="F33" i="31"/>
  <c r="F31" i="31"/>
  <c r="F29" i="31"/>
  <c r="F27" i="31"/>
  <c r="F25" i="31"/>
  <c r="F16" i="31"/>
  <c r="F20" i="31"/>
  <c r="F22" i="31"/>
  <c r="F18" i="31"/>
  <c r="F21" i="31"/>
  <c r="F24" i="31"/>
  <c r="X16" i="31"/>
  <c r="X20" i="31"/>
  <c r="X15" i="32"/>
  <c r="N25" i="32"/>
  <c r="N29" i="32"/>
  <c r="N33" i="32"/>
  <c r="N34" i="32"/>
  <c r="Z21" i="34"/>
  <c r="X25" i="34"/>
  <c r="X29" i="34"/>
  <c r="X33" i="34"/>
  <c r="X34" i="34"/>
  <c r="Z13" i="35"/>
  <c r="Z16" i="35"/>
  <c r="Z20" i="35"/>
  <c r="X22" i="35"/>
  <c r="X24" i="35"/>
  <c r="N15" i="37"/>
  <c r="L21" i="37"/>
  <c r="L16" i="38"/>
  <c r="Z22" i="38"/>
  <c r="N25" i="38"/>
  <c r="N16" i="40"/>
  <c r="L22" i="40"/>
  <c r="X33" i="41"/>
  <c r="N16" i="37"/>
  <c r="N20" i="37"/>
  <c r="L22" i="37"/>
  <c r="L24" i="37"/>
  <c r="N15" i="38"/>
  <c r="X21" i="38"/>
  <c r="Z22" i="40"/>
  <c r="Z22" i="41"/>
  <c r="Z13" i="31"/>
  <c r="Z16" i="31"/>
  <c r="Z20" i="31"/>
  <c r="X22" i="31"/>
  <c r="X24" i="31"/>
  <c r="N12" i="32"/>
  <c r="J24" i="32"/>
  <c r="J22" i="32"/>
  <c r="J21" i="32"/>
  <c r="J20" i="32"/>
  <c r="J18" i="32"/>
  <c r="J16" i="32"/>
  <c r="J36" i="32"/>
  <c r="J31" i="32"/>
  <c r="J25" i="32"/>
  <c r="J34" i="32"/>
  <c r="J29" i="32"/>
  <c r="J15" i="32"/>
  <c r="H18" i="32"/>
  <c r="J27" i="32"/>
  <c r="J33" i="32"/>
  <c r="X13" i="32"/>
  <c r="Z15" i="32"/>
  <c r="X21" i="32"/>
  <c r="Z12" i="34"/>
  <c r="V36" i="34"/>
  <c r="V34" i="34"/>
  <c r="V33" i="34"/>
  <c r="V31" i="34"/>
  <c r="V29" i="34"/>
  <c r="V27" i="34"/>
  <c r="V25" i="34"/>
  <c r="V24" i="34"/>
  <c r="V22" i="34"/>
  <c r="V20" i="34"/>
  <c r="V18" i="34"/>
  <c r="V16" i="34"/>
  <c r="T18" i="34"/>
  <c r="V15" i="34"/>
  <c r="V21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1" i="35"/>
  <c r="R20" i="35"/>
  <c r="R18" i="35"/>
  <c r="R16" i="35"/>
  <c r="P18" i="35"/>
  <c r="R15" i="35"/>
  <c r="R24" i="35"/>
  <c r="R22" i="35"/>
  <c r="Z22" i="35"/>
  <c r="Z24" i="35"/>
  <c r="L13" i="37"/>
  <c r="N21" i="37"/>
  <c r="L25" i="37"/>
  <c r="L29" i="37"/>
  <c r="L33" i="37"/>
  <c r="L34" i="37"/>
  <c r="N16" i="38"/>
  <c r="L24" i="38"/>
  <c r="Z29" i="40"/>
  <c r="X34" i="41"/>
  <c r="Z15" i="44"/>
  <c r="Z21" i="31"/>
  <c r="X25" i="31"/>
  <c r="X29" i="31"/>
  <c r="X33" i="31"/>
  <c r="X34" i="31"/>
  <c r="Z13" i="32"/>
  <c r="Z16" i="32"/>
  <c r="Z20" i="32"/>
  <c r="X22" i="32"/>
  <c r="X24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T18" i="35"/>
  <c r="V15" i="35"/>
  <c r="V20" i="35"/>
  <c r="V18" i="35"/>
  <c r="V16" i="35"/>
  <c r="L15" i="35"/>
  <c r="Z25" i="35"/>
  <c r="Z29" i="35"/>
  <c r="Z33" i="35"/>
  <c r="Z34" i="35"/>
  <c r="N13" i="37"/>
  <c r="N22" i="37"/>
  <c r="N24" i="37"/>
  <c r="L13" i="38"/>
  <c r="X20" i="38"/>
  <c r="Z21" i="38"/>
  <c r="N24" i="38"/>
  <c r="L24" i="40"/>
  <c r="Z24" i="41"/>
  <c r="X16" i="44"/>
  <c r="L21" i="46"/>
  <c r="Z22" i="31"/>
  <c r="Z24" i="31"/>
  <c r="Z21" i="32"/>
  <c r="X25" i="32"/>
  <c r="X29" i="32"/>
  <c r="X33" i="32"/>
  <c r="X34" i="32"/>
  <c r="N15" i="34"/>
  <c r="L21" i="34"/>
  <c r="L16" i="35"/>
  <c r="L20" i="35"/>
  <c r="X15" i="37"/>
  <c r="N25" i="37"/>
  <c r="N29" i="37"/>
  <c r="N33" i="37"/>
  <c r="N34" i="37"/>
  <c r="N13" i="38"/>
  <c r="N29" i="38"/>
  <c r="R21" i="40"/>
  <c r="R20" i="40"/>
  <c r="R18" i="40"/>
  <c r="R16" i="40"/>
  <c r="P18" i="40"/>
  <c r="R15" i="40"/>
  <c r="X12" i="40"/>
  <c r="R24" i="40"/>
  <c r="R22" i="40"/>
  <c r="R31" i="40"/>
  <c r="R36" i="40"/>
  <c r="R29" i="40"/>
  <c r="R34" i="40"/>
  <c r="R27" i="40"/>
  <c r="R33" i="40"/>
  <c r="R25" i="40"/>
  <c r="Z24" i="40"/>
  <c r="X25" i="4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X12" i="32"/>
  <c r="R15" i="32"/>
  <c r="P18" i="32"/>
  <c r="Z22" i="32"/>
  <c r="Z24" i="32"/>
  <c r="N16" i="34"/>
  <c r="N20" i="34"/>
  <c r="L22" i="34"/>
  <c r="L24" i="34"/>
  <c r="N15" i="35"/>
  <c r="L21" i="35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L12" i="37"/>
  <c r="X16" i="37"/>
  <c r="X20" i="37"/>
  <c r="X15" i="38"/>
  <c r="Z20" i="38"/>
  <c r="N33" i="38"/>
  <c r="T18" i="40"/>
  <c r="V15" i="40"/>
  <c r="Z12" i="40"/>
  <c r="V36" i="40"/>
  <c r="V34" i="40"/>
  <c r="V33" i="40"/>
  <c r="V31" i="40"/>
  <c r="V29" i="40"/>
  <c r="V27" i="40"/>
  <c r="V25" i="40"/>
  <c r="V20" i="40"/>
  <c r="V18" i="40"/>
  <c r="V16" i="40"/>
  <c r="V24" i="40"/>
  <c r="V22" i="40"/>
  <c r="V21" i="40"/>
  <c r="R20" i="41"/>
  <c r="R18" i="41"/>
  <c r="R16" i="41"/>
  <c r="P18" i="41"/>
  <c r="R15" i="41"/>
  <c r="X12" i="41"/>
  <c r="R21" i="41"/>
  <c r="R36" i="41"/>
  <c r="R25" i="41"/>
  <c r="R34" i="41"/>
  <c r="R24" i="41"/>
  <c r="R33" i="41"/>
  <c r="R22" i="41"/>
  <c r="R31" i="41"/>
  <c r="R27" i="41"/>
  <c r="R29" i="41"/>
  <c r="L16" i="31"/>
  <c r="L20" i="31"/>
  <c r="V24" i="32"/>
  <c r="V22" i="32"/>
  <c r="V21" i="32"/>
  <c r="V20" i="32"/>
  <c r="V18" i="32"/>
  <c r="V16" i="32"/>
  <c r="T18" i="32"/>
  <c r="V15" i="32"/>
  <c r="Z12" i="32"/>
  <c r="V36" i="32"/>
  <c r="V31" i="32"/>
  <c r="V25" i="32"/>
  <c r="V34" i="32"/>
  <c r="V29" i="32"/>
  <c r="V27" i="32"/>
  <c r="V33" i="32"/>
  <c r="L15" i="32"/>
  <c r="Z25" i="32"/>
  <c r="Z29" i="32"/>
  <c r="Z33" i="32"/>
  <c r="Z34" i="32"/>
  <c r="L13" i="34"/>
  <c r="N21" i="34"/>
  <c r="L25" i="34"/>
  <c r="L29" i="34"/>
  <c r="L33" i="34"/>
  <c r="L34" i="34"/>
  <c r="N16" i="35"/>
  <c r="N20" i="35"/>
  <c r="L22" i="35"/>
  <c r="L24" i="35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N12" i="37"/>
  <c r="X13" i="37"/>
  <c r="Z15" i="37"/>
  <c r="X21" i="37"/>
  <c r="F20" i="38"/>
  <c r="F18" i="38"/>
  <c r="F24" i="38"/>
  <c r="F22" i="38"/>
  <c r="F36" i="38"/>
  <c r="F33" i="38"/>
  <c r="F29" i="38"/>
  <c r="F16" i="38"/>
  <c r="D18" i="38"/>
  <c r="F15" i="38"/>
  <c r="F25" i="38"/>
  <c r="F34" i="38"/>
  <c r="F31" i="38"/>
  <c r="F27" i="38"/>
  <c r="L12" i="38"/>
  <c r="F21" i="38"/>
  <c r="X16" i="38"/>
  <c r="L22" i="38"/>
  <c r="N20" i="40"/>
  <c r="N21" i="38"/>
  <c r="L25" i="38"/>
  <c r="L29" i="38"/>
  <c r="L33" i="38"/>
  <c r="L34" i="38"/>
  <c r="Z21" i="40"/>
  <c r="X25" i="40"/>
  <c r="X29" i="40"/>
  <c r="X33" i="40"/>
  <c r="X34" i="40"/>
  <c r="Z13" i="41"/>
  <c r="Z16" i="41"/>
  <c r="Z20" i="41"/>
  <c r="X22" i="41"/>
  <c r="X24" i="41"/>
  <c r="X16" i="43"/>
  <c r="N20" i="46"/>
  <c r="X16" i="50"/>
  <c r="L16" i="40"/>
  <c r="L20" i="40"/>
  <c r="V36" i="41"/>
  <c r="V34" i="41"/>
  <c r="V33" i="41"/>
  <c r="V31" i="41"/>
  <c r="V29" i="41"/>
  <c r="V27" i="41"/>
  <c r="V25" i="41"/>
  <c r="V24" i="41"/>
  <c r="V22" i="41"/>
  <c r="T18" i="41"/>
  <c r="V15" i="41"/>
  <c r="Z12" i="41"/>
  <c r="V18" i="41"/>
  <c r="V16" i="41"/>
  <c r="V21" i="41"/>
  <c r="V20" i="41"/>
  <c r="L15" i="41"/>
  <c r="Z25" i="41"/>
  <c r="Z29" i="41"/>
  <c r="Z33" i="41"/>
  <c r="Z34" i="41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L12" i="43"/>
  <c r="L16" i="47"/>
  <c r="N20" i="52"/>
  <c r="N15" i="40"/>
  <c r="L21" i="40"/>
  <c r="L16" i="41"/>
  <c r="L20" i="41"/>
  <c r="J24" i="43"/>
  <c r="J22" i="43"/>
  <c r="J21" i="43"/>
  <c r="J20" i="43"/>
  <c r="J18" i="43"/>
  <c r="J16" i="43"/>
  <c r="H18" i="43"/>
  <c r="J15" i="43"/>
  <c r="N12" i="43"/>
  <c r="J36" i="43"/>
  <c r="J34" i="43"/>
  <c r="J33" i="43"/>
  <c r="J31" i="43"/>
  <c r="J29" i="43"/>
  <c r="J27" i="43"/>
  <c r="J25" i="43"/>
  <c r="L22" i="46"/>
  <c r="X24" i="43"/>
  <c r="N15" i="46"/>
  <c r="Z16" i="49"/>
  <c r="X25" i="38"/>
  <c r="X29" i="38"/>
  <c r="X33" i="38"/>
  <c r="X34" i="38"/>
  <c r="L13" i="40"/>
  <c r="N21" i="40"/>
  <c r="L25" i="40"/>
  <c r="L29" i="40"/>
  <c r="L33" i="40"/>
  <c r="L34" i="40"/>
  <c r="N16" i="41"/>
  <c r="N20" i="41"/>
  <c r="L22" i="41"/>
  <c r="L24" i="41"/>
  <c r="X20" i="43"/>
  <c r="X20" i="44"/>
  <c r="L24" i="46"/>
  <c r="N13" i="40"/>
  <c r="N22" i="40"/>
  <c r="N24" i="40"/>
  <c r="L13" i="41"/>
  <c r="N21" i="41"/>
  <c r="L25" i="41"/>
  <c r="L29" i="41"/>
  <c r="L33" i="41"/>
  <c r="L34" i="41"/>
  <c r="X13" i="43"/>
  <c r="L20" i="47"/>
  <c r="X22" i="49"/>
  <c r="Z25" i="38"/>
  <c r="Z29" i="38"/>
  <c r="Z33" i="38"/>
  <c r="Z34" i="38"/>
  <c r="X15" i="40"/>
  <c r="N25" i="40"/>
  <c r="N29" i="40"/>
  <c r="N33" i="40"/>
  <c r="N34" i="40"/>
  <c r="N13" i="41"/>
  <c r="N22" i="41"/>
  <c r="N24" i="41"/>
  <c r="Z13" i="43"/>
  <c r="Z20" i="43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L12" i="44"/>
  <c r="N16" i="46"/>
  <c r="L12" i="40"/>
  <c r="F36" i="40"/>
  <c r="F34" i="40"/>
  <c r="F33" i="40"/>
  <c r="F31" i="40"/>
  <c r="F29" i="40"/>
  <c r="F27" i="40"/>
  <c r="F25" i="40"/>
  <c r="F24" i="40"/>
  <c r="F22" i="40"/>
  <c r="F20" i="40"/>
  <c r="F18" i="40"/>
  <c r="F16" i="40"/>
  <c r="D18" i="40"/>
  <c r="F15" i="40"/>
  <c r="F21" i="40"/>
  <c r="X16" i="40"/>
  <c r="X20" i="40"/>
  <c r="X15" i="41"/>
  <c r="N25" i="41"/>
  <c r="N29" i="41"/>
  <c r="N33" i="41"/>
  <c r="N34" i="41"/>
  <c r="J21" i="44"/>
  <c r="J20" i="44"/>
  <c r="J18" i="44"/>
  <c r="J16" i="44"/>
  <c r="H18" i="44"/>
  <c r="J15" i="44"/>
  <c r="N12" i="44"/>
  <c r="J24" i="44"/>
  <c r="J22" i="44"/>
  <c r="J33" i="44"/>
  <c r="J31" i="44"/>
  <c r="J29" i="44"/>
  <c r="J27" i="44"/>
  <c r="J34" i="44"/>
  <c r="J25" i="44"/>
  <c r="J36" i="44"/>
  <c r="X21" i="44"/>
  <c r="L21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N12" i="40"/>
  <c r="H18" i="40"/>
  <c r="J15" i="40"/>
  <c r="X13" i="40"/>
  <c r="Z15" i="40"/>
  <c r="X21" i="40"/>
  <c r="F36" i="41"/>
  <c r="F34" i="41"/>
  <c r="F33" i="41"/>
  <c r="F31" i="41"/>
  <c r="F29" i="41"/>
  <c r="F27" i="41"/>
  <c r="F25" i="41"/>
  <c r="F24" i="41"/>
  <c r="F22" i="41"/>
  <c r="F21" i="41"/>
  <c r="D18" i="41"/>
  <c r="F15" i="41"/>
  <c r="L12" i="41"/>
  <c r="F20" i="41"/>
  <c r="F18" i="41"/>
  <c r="F16" i="41"/>
  <c r="X16" i="41"/>
  <c r="X20" i="41"/>
  <c r="Z15" i="43"/>
  <c r="X21" i="43"/>
  <c r="L21" i="47"/>
  <c r="Z13" i="40"/>
  <c r="Z16" i="40"/>
  <c r="Z20" i="40"/>
  <c r="X22" i="40"/>
  <c r="X24" i="40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2" i="41"/>
  <c r="X13" i="41"/>
  <c r="Z15" i="41"/>
  <c r="X21" i="41"/>
  <c r="X13" i="44"/>
  <c r="X15" i="44"/>
  <c r="N25" i="44"/>
  <c r="N29" i="44"/>
  <c r="N33" i="44"/>
  <c r="N34" i="44"/>
  <c r="L16" i="46"/>
  <c r="L20" i="46"/>
  <c r="V36" i="47"/>
  <c r="V21" i="47"/>
  <c r="V20" i="47"/>
  <c r="V18" i="47"/>
  <c r="V16" i="47"/>
  <c r="T18" i="47"/>
  <c r="V15" i="47"/>
  <c r="V24" i="47"/>
  <c r="V22" i="47"/>
  <c r="V31" i="47"/>
  <c r="V29" i="47"/>
  <c r="V27" i="47"/>
  <c r="V25" i="47"/>
  <c r="V34" i="47"/>
  <c r="Z12" i="47"/>
  <c r="V33" i="47"/>
  <c r="L15" i="47"/>
  <c r="Z25" i="47"/>
  <c r="Z29" i="47"/>
  <c r="Z33" i="47"/>
  <c r="Z34" i="47"/>
  <c r="X16" i="49"/>
  <c r="N29" i="50"/>
  <c r="L21" i="53"/>
  <c r="Z21" i="43"/>
  <c r="X25" i="43"/>
  <c r="X29" i="43"/>
  <c r="X33" i="43"/>
  <c r="X34" i="43"/>
  <c r="Z13" i="44"/>
  <c r="Z16" i="44"/>
  <c r="Z20" i="44"/>
  <c r="X22" i="44"/>
  <c r="X24" i="44"/>
  <c r="L13" i="46"/>
  <c r="N21" i="46"/>
  <c r="L25" i="46"/>
  <c r="L29" i="46"/>
  <c r="L33" i="46"/>
  <c r="L34" i="46"/>
  <c r="N16" i="47"/>
  <c r="N20" i="47"/>
  <c r="L22" i="47"/>
  <c r="L24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L21" i="52"/>
  <c r="X12" i="43"/>
  <c r="R36" i="43"/>
  <c r="R34" i="43"/>
  <c r="R33" i="43"/>
  <c r="R31" i="43"/>
  <c r="R29" i="43"/>
  <c r="R27" i="43"/>
  <c r="R25" i="43"/>
  <c r="R24" i="43"/>
  <c r="R22" i="43"/>
  <c r="R21" i="43"/>
  <c r="R15" i="43"/>
  <c r="R20" i="43"/>
  <c r="R18" i="43"/>
  <c r="P18" i="43"/>
  <c r="R16" i="43"/>
  <c r="Z22" i="43"/>
  <c r="Z24" i="43"/>
  <c r="Z21" i="44"/>
  <c r="X25" i="44"/>
  <c r="X29" i="44"/>
  <c r="X33" i="44"/>
  <c r="X34" i="44"/>
  <c r="N13" i="46"/>
  <c r="N22" i="46"/>
  <c r="N24" i="46"/>
  <c r="L13" i="47"/>
  <c r="N21" i="47"/>
  <c r="L25" i="47"/>
  <c r="L29" i="47"/>
  <c r="L33" i="47"/>
  <c r="L34" i="47"/>
  <c r="J24" i="49"/>
  <c r="J22" i="49"/>
  <c r="J21" i="49"/>
  <c r="J20" i="49"/>
  <c r="J18" i="49"/>
  <c r="J16" i="49"/>
  <c r="H18" i="49"/>
  <c r="J15" i="49"/>
  <c r="N12" i="49"/>
  <c r="J34" i="49"/>
  <c r="J27" i="49"/>
  <c r="J33" i="49"/>
  <c r="J25" i="49"/>
  <c r="J31" i="49"/>
  <c r="J36" i="49"/>
  <c r="J29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N15" i="53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V15" i="43"/>
  <c r="T18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P18" i="44"/>
  <c r="R16" i="44"/>
  <c r="R15" i="44"/>
  <c r="Z22" i="44"/>
  <c r="Z24" i="44"/>
  <c r="X15" i="46"/>
  <c r="N25" i="46"/>
  <c r="N29" i="46"/>
  <c r="N33" i="46"/>
  <c r="N34" i="46"/>
  <c r="N13" i="47"/>
  <c r="N22" i="47"/>
  <c r="N24" i="47"/>
  <c r="X24" i="49"/>
  <c r="J21" i="50"/>
  <c r="J20" i="50"/>
  <c r="J18" i="50"/>
  <c r="J16" i="50"/>
  <c r="H18" i="50"/>
  <c r="J15" i="50"/>
  <c r="N12" i="50"/>
  <c r="J34" i="50"/>
  <c r="J27" i="50"/>
  <c r="J33" i="50"/>
  <c r="J25" i="50"/>
  <c r="J31" i="50"/>
  <c r="J24" i="50"/>
  <c r="J22" i="50"/>
  <c r="J36" i="50"/>
  <c r="J29" i="50"/>
  <c r="L16" i="53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L12" i="46"/>
  <c r="F36" i="46"/>
  <c r="F34" i="46"/>
  <c r="F33" i="46"/>
  <c r="F31" i="46"/>
  <c r="F29" i="46"/>
  <c r="F27" i="46"/>
  <c r="F25" i="46"/>
  <c r="F24" i="46"/>
  <c r="F22" i="46"/>
  <c r="D18" i="46"/>
  <c r="F15" i="46"/>
  <c r="F20" i="46"/>
  <c r="F18" i="46"/>
  <c r="F16" i="46"/>
  <c r="F21" i="46"/>
  <c r="X16" i="46"/>
  <c r="X20" i="46"/>
  <c r="X15" i="47"/>
  <c r="N25" i="47"/>
  <c r="N29" i="47"/>
  <c r="N33" i="47"/>
  <c r="N34" i="47"/>
  <c r="X20" i="49"/>
  <c r="N25" i="50"/>
  <c r="N33" i="50"/>
  <c r="L22" i="52"/>
  <c r="N15" i="43"/>
  <c r="L21" i="43"/>
  <c r="L16" i="44"/>
  <c r="L20" i="44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F20" i="47"/>
  <c r="F18" i="47"/>
  <c r="D18" i="47"/>
  <c r="F16" i="47"/>
  <c r="F15" i="47"/>
  <c r="X16" i="47"/>
  <c r="X20" i="47"/>
  <c r="X13" i="49"/>
  <c r="X20" i="50"/>
  <c r="N15" i="52"/>
  <c r="N16" i="43"/>
  <c r="N20" i="43"/>
  <c r="L22" i="43"/>
  <c r="L24" i="43"/>
  <c r="N15" i="44"/>
  <c r="L21" i="44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H18" i="47"/>
  <c r="J15" i="47"/>
  <c r="X13" i="47"/>
  <c r="Z15" i="47"/>
  <c r="X21" i="47"/>
  <c r="Z13" i="49"/>
  <c r="Z20" i="49"/>
  <c r="X13" i="50"/>
  <c r="L24" i="52"/>
  <c r="L13" i="43"/>
  <c r="N21" i="43"/>
  <c r="L25" i="43"/>
  <c r="L29" i="43"/>
  <c r="L33" i="43"/>
  <c r="L34" i="43"/>
  <c r="N16" i="44"/>
  <c r="N20" i="44"/>
  <c r="L22" i="44"/>
  <c r="L24" i="44"/>
  <c r="Z21" i="46"/>
  <c r="X25" i="46"/>
  <c r="X29" i="46"/>
  <c r="X33" i="46"/>
  <c r="X34" i="46"/>
  <c r="Z13" i="47"/>
  <c r="Z16" i="47"/>
  <c r="Z20" i="47"/>
  <c r="X22" i="47"/>
  <c r="X24" i="47"/>
  <c r="X15" i="50"/>
  <c r="N34" i="50"/>
  <c r="L20" i="53"/>
  <c r="N13" i="43"/>
  <c r="N22" i="43"/>
  <c r="N24" i="43"/>
  <c r="L13" i="44"/>
  <c r="N21" i="44"/>
  <c r="L25" i="44"/>
  <c r="L29" i="44"/>
  <c r="L33" i="44"/>
  <c r="L34" i="44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X12" i="46"/>
  <c r="Z22" i="46"/>
  <c r="Z24" i="46"/>
  <c r="Z21" i="47"/>
  <c r="X25" i="47"/>
  <c r="X29" i="47"/>
  <c r="X33" i="47"/>
  <c r="X34" i="47"/>
  <c r="Z15" i="49"/>
  <c r="X21" i="49"/>
  <c r="N16" i="52"/>
  <c r="X15" i="43"/>
  <c r="N25" i="43"/>
  <c r="N29" i="43"/>
  <c r="N33" i="43"/>
  <c r="N34" i="43"/>
  <c r="N13" i="44"/>
  <c r="N22" i="44"/>
  <c r="N24" i="44"/>
  <c r="V24" i="46"/>
  <c r="V22" i="46"/>
  <c r="V21" i="46"/>
  <c r="V20" i="46"/>
  <c r="V18" i="46"/>
  <c r="V16" i="46"/>
  <c r="T18" i="46"/>
  <c r="V15" i="46"/>
  <c r="V36" i="46"/>
  <c r="V34" i="46"/>
  <c r="V33" i="46"/>
  <c r="V31" i="46"/>
  <c r="V29" i="46"/>
  <c r="V27" i="46"/>
  <c r="V25" i="46"/>
  <c r="Z12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Z15" i="50"/>
  <c r="X21" i="50"/>
  <c r="L16" i="52"/>
  <c r="L20" i="52"/>
  <c r="V21" i="53"/>
  <c r="V20" i="53"/>
  <c r="V18" i="53"/>
  <c r="V16" i="53"/>
  <c r="T18" i="53"/>
  <c r="V15" i="53"/>
  <c r="V24" i="53"/>
  <c r="V22" i="53"/>
  <c r="V29" i="53"/>
  <c r="V27" i="53"/>
  <c r="V36" i="53"/>
  <c r="V25" i="53"/>
  <c r="V34" i="53"/>
  <c r="V33" i="53"/>
  <c r="V31" i="53"/>
  <c r="Z12" i="53"/>
  <c r="L15" i="53"/>
  <c r="Z25" i="53"/>
  <c r="Z29" i="53"/>
  <c r="Z33" i="53"/>
  <c r="Z34" i="53"/>
  <c r="Z21" i="49"/>
  <c r="X25" i="49"/>
  <c r="X29" i="49"/>
  <c r="X33" i="49"/>
  <c r="X34" i="49"/>
  <c r="Z13" i="50"/>
  <c r="Z16" i="50"/>
  <c r="Z20" i="50"/>
  <c r="X22" i="50"/>
  <c r="X24" i="50"/>
  <c r="L13" i="52"/>
  <c r="N21" i="52"/>
  <c r="L25" i="52"/>
  <c r="L29" i="52"/>
  <c r="L33" i="52"/>
  <c r="L34" i="52"/>
  <c r="N16" i="53"/>
  <c r="N20" i="53"/>
  <c r="L22" i="53"/>
  <c r="L24" i="53"/>
  <c r="X12" i="49"/>
  <c r="R36" i="49"/>
  <c r="R34" i="49"/>
  <c r="R33" i="49"/>
  <c r="R31" i="49"/>
  <c r="R29" i="49"/>
  <c r="R27" i="49"/>
  <c r="R25" i="49"/>
  <c r="R24" i="49"/>
  <c r="R22" i="49"/>
  <c r="R21" i="49"/>
  <c r="R15" i="49"/>
  <c r="R20" i="49"/>
  <c r="R18" i="49"/>
  <c r="P18" i="49"/>
  <c r="R16" i="49"/>
  <c r="Z22" i="49"/>
  <c r="Z24" i="49"/>
  <c r="Z21" i="50"/>
  <c r="X25" i="50"/>
  <c r="X29" i="50"/>
  <c r="X33" i="50"/>
  <c r="X34" i="50"/>
  <c r="N13" i="52"/>
  <c r="N22" i="52"/>
  <c r="N24" i="52"/>
  <c r="L13" i="53"/>
  <c r="N21" i="53"/>
  <c r="L25" i="53"/>
  <c r="L29" i="53"/>
  <c r="L33" i="53"/>
  <c r="L34" i="53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V15" i="49"/>
  <c r="T18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22" i="50"/>
  <c r="R21" i="50"/>
  <c r="R15" i="50"/>
  <c r="R20" i="50"/>
  <c r="R18" i="50"/>
  <c r="P18" i="50"/>
  <c r="R16" i="50"/>
  <c r="Z22" i="50"/>
  <c r="Z24" i="50"/>
  <c r="X15" i="52"/>
  <c r="N25" i="52"/>
  <c r="N29" i="52"/>
  <c r="N33" i="52"/>
  <c r="N34" i="52"/>
  <c r="N13" i="53"/>
  <c r="N22" i="53"/>
  <c r="N24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20" i="50"/>
  <c r="V18" i="50"/>
  <c r="V16" i="50"/>
  <c r="T18" i="50"/>
  <c r="V15" i="50"/>
  <c r="L15" i="50"/>
  <c r="Z25" i="50"/>
  <c r="Z29" i="50"/>
  <c r="Z33" i="50"/>
  <c r="Z34" i="50"/>
  <c r="L12" i="52"/>
  <c r="F36" i="52"/>
  <c r="F34" i="52"/>
  <c r="F33" i="52"/>
  <c r="F31" i="52"/>
  <c r="F29" i="52"/>
  <c r="F27" i="52"/>
  <c r="F25" i="52"/>
  <c r="F24" i="52"/>
  <c r="F22" i="52"/>
  <c r="D18" i="52"/>
  <c r="F15" i="52"/>
  <c r="F18" i="52"/>
  <c r="F16" i="52"/>
  <c r="F21" i="52"/>
  <c r="F20" i="52"/>
  <c r="X16" i="52"/>
  <c r="X20" i="52"/>
  <c r="X15" i="53"/>
  <c r="N25" i="53"/>
  <c r="N29" i="53"/>
  <c r="N33" i="53"/>
  <c r="N34" i="53"/>
  <c r="N15" i="49"/>
  <c r="L21" i="49"/>
  <c r="L16" i="50"/>
  <c r="L20" i="50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J15" i="52"/>
  <c r="H18" i="52"/>
  <c r="X13" i="52"/>
  <c r="Z15" i="52"/>
  <c r="X21" i="52"/>
  <c r="L12" i="53"/>
  <c r="F36" i="53"/>
  <c r="F34" i="53"/>
  <c r="F33" i="53"/>
  <c r="F31" i="53"/>
  <c r="F29" i="53"/>
  <c r="F27" i="53"/>
  <c r="F25" i="53"/>
  <c r="F24" i="53"/>
  <c r="F22" i="53"/>
  <c r="F21" i="53"/>
  <c r="F20" i="53"/>
  <c r="F18" i="53"/>
  <c r="D18" i="53"/>
  <c r="F16" i="53"/>
  <c r="F15" i="53"/>
  <c r="X16" i="53"/>
  <c r="X20" i="53"/>
  <c r="N16" i="49"/>
  <c r="N20" i="49"/>
  <c r="L22" i="49"/>
  <c r="L24" i="49"/>
  <c r="N15" i="50"/>
  <c r="L21" i="50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H18" i="53"/>
  <c r="J15" i="53"/>
  <c r="X13" i="53"/>
  <c r="Z15" i="53"/>
  <c r="X21" i="53"/>
  <c r="L13" i="49"/>
  <c r="N21" i="49"/>
  <c r="L25" i="49"/>
  <c r="L29" i="49"/>
  <c r="L33" i="49"/>
  <c r="L34" i="49"/>
  <c r="N16" i="50"/>
  <c r="N20" i="50"/>
  <c r="L22" i="50"/>
  <c r="L24" i="50"/>
  <c r="Z21" i="52"/>
  <c r="X25" i="52"/>
  <c r="X29" i="52"/>
  <c r="X33" i="52"/>
  <c r="X34" i="52"/>
  <c r="Z13" i="53"/>
  <c r="Z16" i="53"/>
  <c r="Z20" i="53"/>
  <c r="X22" i="53"/>
  <c r="X24" i="53"/>
  <c r="N13" i="49"/>
  <c r="N22" i="49"/>
  <c r="N24" i="49"/>
  <c r="L13" i="50"/>
  <c r="N21" i="50"/>
  <c r="L25" i="50"/>
  <c r="L29" i="50"/>
  <c r="L33" i="50"/>
  <c r="L34" i="50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X12" i="52"/>
  <c r="Z22" i="52"/>
  <c r="Z24" i="52"/>
  <c r="Z21" i="53"/>
  <c r="X25" i="53"/>
  <c r="X29" i="53"/>
  <c r="X33" i="53"/>
  <c r="X34" i="53"/>
  <c r="X15" i="49"/>
  <c r="N25" i="49"/>
  <c r="N29" i="49"/>
  <c r="N33" i="49"/>
  <c r="N34" i="49"/>
  <c r="N13" i="50"/>
  <c r="N22" i="50"/>
  <c r="N24" i="50"/>
  <c r="V24" i="52"/>
  <c r="V22" i="52"/>
  <c r="V21" i="52"/>
  <c r="V20" i="52"/>
  <c r="V18" i="52"/>
  <c r="V16" i="52"/>
  <c r="T18" i="52"/>
  <c r="V15" i="52"/>
  <c r="V36" i="52"/>
  <c r="V34" i="52"/>
  <c r="V33" i="52"/>
  <c r="V31" i="52"/>
  <c r="V29" i="52"/>
  <c r="V27" i="52"/>
  <c r="V25" i="52"/>
  <c r="Z12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X12" i="53"/>
  <c r="Z22" i="53"/>
  <c r="Z24" i="53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N25" i="112"/>
  <c r="Z21" i="110"/>
  <c r="Z15" i="111"/>
  <c r="N29" i="112"/>
  <c r="X25" i="110"/>
  <c r="N33" i="112"/>
  <c r="X21" i="111"/>
  <c r="X15" i="112"/>
  <c r="N34" i="112"/>
  <c r="X29" i="110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1" i="110"/>
  <c r="V20" i="110"/>
  <c r="V18" i="110"/>
  <c r="V16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T22" i="6"/>
  <c r="Z16" i="6"/>
  <c r="N182" i="3"/>
  <c r="N195" i="3"/>
  <c r="Z199" i="3"/>
  <c r="N173" i="3"/>
  <c r="N247" i="3"/>
  <c r="N149" i="3"/>
  <c r="Z185" i="3"/>
  <c r="Z247" i="3"/>
  <c r="N270" i="3"/>
  <c r="Z211" i="3"/>
  <c r="Z207" i="3"/>
  <c r="N251" i="3"/>
  <c r="F208" i="3"/>
  <c r="J102" i="3"/>
  <c r="J106" i="3"/>
  <c r="J110" i="3"/>
  <c r="J114" i="3"/>
  <c r="J118" i="3"/>
  <c r="J122" i="3"/>
  <c r="J126" i="3"/>
  <c r="J130" i="3"/>
  <c r="J134" i="3"/>
  <c r="J138" i="3"/>
  <c r="J142" i="3"/>
  <c r="F151" i="3"/>
  <c r="F155" i="3"/>
  <c r="F159" i="3"/>
  <c r="J160" i="3"/>
  <c r="V162" i="3"/>
  <c r="V166" i="3"/>
  <c r="V170" i="3"/>
  <c r="F175" i="3"/>
  <c r="J176" i="3"/>
  <c r="F182" i="3"/>
  <c r="F183" i="3"/>
  <c r="V186" i="3"/>
  <c r="F190" i="3"/>
  <c r="F191" i="3"/>
  <c r="J192" i="3"/>
  <c r="V194" i="3"/>
  <c r="J198" i="3"/>
  <c r="V202" i="3"/>
  <c r="J210" i="3"/>
  <c r="F215" i="3"/>
  <c r="J216" i="3"/>
  <c r="V218" i="3"/>
  <c r="J222" i="3"/>
  <c r="J226" i="3"/>
  <c r="V230" i="3"/>
  <c r="V234" i="3"/>
  <c r="V238" i="3"/>
  <c r="V250" i="3"/>
  <c r="F258" i="3"/>
  <c r="J259" i="3"/>
  <c r="F17" i="9"/>
  <c r="F20" i="9"/>
  <c r="N32" i="9"/>
  <c r="N45" i="9"/>
  <c r="F63" i="9"/>
  <c r="V64" i="9"/>
  <c r="V76" i="9"/>
  <c r="F122" i="12"/>
  <c r="F127" i="12"/>
  <c r="V129" i="12"/>
  <c r="N171" i="12"/>
  <c r="X215" i="15"/>
  <c r="Z215" i="15" s="1"/>
  <c r="D146" i="3"/>
  <c r="F146" i="3" s="1"/>
  <c r="P24" i="108"/>
  <c r="F105" i="3"/>
  <c r="F129" i="3"/>
  <c r="F256" i="3"/>
  <c r="F154" i="12"/>
  <c r="N175" i="12"/>
  <c r="Z181" i="12"/>
  <c r="Z186" i="12"/>
  <c r="L12" i="3"/>
  <c r="J101" i="3"/>
  <c r="J105" i="3"/>
  <c r="J109" i="3"/>
  <c r="J113" i="3"/>
  <c r="J117" i="3"/>
  <c r="J121" i="3"/>
  <c r="J125" i="3"/>
  <c r="J129" i="3"/>
  <c r="J133" i="3"/>
  <c r="J137" i="3"/>
  <c r="J141" i="3"/>
  <c r="H146" i="3"/>
  <c r="F149" i="3"/>
  <c r="F150" i="3"/>
  <c r="F154" i="3"/>
  <c r="F158" i="3"/>
  <c r="V161" i="3"/>
  <c r="V165" i="3"/>
  <c r="V169" i="3"/>
  <c r="F173" i="3"/>
  <c r="F174" i="3"/>
  <c r="V177" i="3"/>
  <c r="J181" i="3"/>
  <c r="L182" i="3"/>
  <c r="V185" i="3"/>
  <c r="J189" i="3"/>
  <c r="L190" i="3"/>
  <c r="N190" i="3" s="1"/>
  <c r="V193" i="3"/>
  <c r="J197" i="3"/>
  <c r="V201" i="3"/>
  <c r="F205" i="3"/>
  <c r="F206" i="3"/>
  <c r="J207" i="3"/>
  <c r="F214" i="3"/>
  <c r="V217" i="3"/>
  <c r="J225" i="3"/>
  <c r="V233" i="3"/>
  <c r="V237" i="3"/>
  <c r="V241" i="3"/>
  <c r="F245" i="3"/>
  <c r="F246" i="3"/>
  <c r="J247" i="3"/>
  <c r="V249" i="3"/>
  <c r="F255" i="3"/>
  <c r="J256" i="3"/>
  <c r="V261" i="3"/>
  <c r="F269" i="3"/>
  <c r="F270" i="3"/>
  <c r="L14" i="6"/>
  <c r="V17" i="9"/>
  <c r="V27" i="9"/>
  <c r="F44" i="9"/>
  <c r="N49" i="9"/>
  <c r="F53" i="9"/>
  <c r="V56" i="9"/>
  <c r="V58" i="9"/>
  <c r="X89" i="9"/>
  <c r="L99" i="9"/>
  <c r="D98" i="9"/>
  <c r="L98" i="9" s="1"/>
  <c r="F105" i="9"/>
  <c r="F82" i="12"/>
  <c r="F86" i="12"/>
  <c r="F90" i="12"/>
  <c r="F94" i="12"/>
  <c r="F98" i="12"/>
  <c r="F102" i="12"/>
  <c r="F106" i="12"/>
  <c r="F110" i="12"/>
  <c r="H119" i="12"/>
  <c r="Z122" i="12"/>
  <c r="J141" i="12"/>
  <c r="Z151" i="12"/>
  <c r="V158" i="12"/>
  <c r="X175" i="12"/>
  <c r="Z175" i="12" s="1"/>
  <c r="V177" i="12"/>
  <c r="V189" i="12"/>
  <c r="J223" i="12"/>
  <c r="Z117" i="15"/>
  <c r="F236" i="3"/>
  <c r="F240" i="3"/>
  <c r="F247" i="3"/>
  <c r="F257" i="3"/>
  <c r="Z147" i="15"/>
  <c r="F109" i="3"/>
  <c r="V102" i="3"/>
  <c r="V106" i="3"/>
  <c r="V110" i="3"/>
  <c r="V114" i="3"/>
  <c r="V118" i="3"/>
  <c r="V122" i="3"/>
  <c r="V126" i="3"/>
  <c r="V130" i="3"/>
  <c r="V134" i="3"/>
  <c r="V138" i="3"/>
  <c r="V142" i="3"/>
  <c r="J146" i="3"/>
  <c r="J148" i="3"/>
  <c r="J150" i="3"/>
  <c r="J154" i="3"/>
  <c r="J158" i="3"/>
  <c r="F163" i="3"/>
  <c r="F167" i="3"/>
  <c r="J174" i="3"/>
  <c r="V178" i="3"/>
  <c r="F187" i="3"/>
  <c r="J188" i="3"/>
  <c r="V198" i="3"/>
  <c r="X201" i="3"/>
  <c r="Z201" i="3" s="1"/>
  <c r="J206" i="3"/>
  <c r="L207" i="3"/>
  <c r="N207" i="3" s="1"/>
  <c r="V210" i="3"/>
  <c r="J214" i="3"/>
  <c r="F219" i="3"/>
  <c r="V222" i="3"/>
  <c r="V226" i="3"/>
  <c r="F230" i="3"/>
  <c r="F231" i="3"/>
  <c r="F235" i="3"/>
  <c r="F239" i="3"/>
  <c r="V242" i="3"/>
  <c r="J246" i="3"/>
  <c r="L247" i="3"/>
  <c r="J254" i="3"/>
  <c r="J255" i="3"/>
  <c r="V260" i="3"/>
  <c r="Z28" i="6"/>
  <c r="L15" i="9"/>
  <c r="L19" i="9"/>
  <c r="X45" i="9"/>
  <c r="Z45" i="9" s="1"/>
  <c r="F62" i="9"/>
  <c r="Z67" i="9"/>
  <c r="X72" i="9"/>
  <c r="Z72" i="9" s="1"/>
  <c r="F85" i="9"/>
  <c r="F92" i="9"/>
  <c r="F225" i="12"/>
  <c r="F216" i="12"/>
  <c r="F215" i="12"/>
  <c r="F208" i="12"/>
  <c r="F204" i="12"/>
  <c r="F188" i="12"/>
  <c r="F172" i="12"/>
  <c r="F171" i="12"/>
  <c r="F156" i="12"/>
  <c r="F148" i="12"/>
  <c r="F132" i="12"/>
  <c r="F128" i="12"/>
  <c r="F124" i="12"/>
  <c r="F226" i="12"/>
  <c r="F199" i="12"/>
  <c r="F183" i="12"/>
  <c r="F115" i="12"/>
  <c r="F111" i="12"/>
  <c r="F107" i="12"/>
  <c r="F103" i="12"/>
  <c r="F99" i="12"/>
  <c r="F95" i="12"/>
  <c r="F91" i="12"/>
  <c r="F87" i="12"/>
  <c r="F83" i="12"/>
  <c r="F194" i="12"/>
  <c r="F174" i="12"/>
  <c r="F173" i="12"/>
  <c r="F166" i="12"/>
  <c r="F158" i="12"/>
  <c r="F157" i="12"/>
  <c r="F150" i="12"/>
  <c r="F149" i="12"/>
  <c r="F142" i="12"/>
  <c r="F138" i="12"/>
  <c r="F134" i="12"/>
  <c r="F133" i="12"/>
  <c r="F217" i="12"/>
  <c r="F209" i="12"/>
  <c r="F205" i="12"/>
  <c r="F201" i="12"/>
  <c r="F200" i="12"/>
  <c r="F189" i="12"/>
  <c r="F129" i="12"/>
  <c r="F125" i="12"/>
  <c r="F230" i="12"/>
  <c r="F184" i="12"/>
  <c r="F176" i="12"/>
  <c r="F175" i="12"/>
  <c r="F168" i="12"/>
  <c r="F167" i="12"/>
  <c r="F152" i="12"/>
  <c r="F151" i="12"/>
  <c r="F116" i="12"/>
  <c r="F112" i="12"/>
  <c r="F108" i="12"/>
  <c r="F104" i="12"/>
  <c r="F100" i="12"/>
  <c r="F96" i="12"/>
  <c r="F92" i="12"/>
  <c r="F88" i="12"/>
  <c r="F84" i="12"/>
  <c r="F211" i="12"/>
  <c r="F210" i="12"/>
  <c r="F195" i="12"/>
  <c r="F159" i="12"/>
  <c r="F143" i="12"/>
  <c r="F139" i="12"/>
  <c r="F135" i="12"/>
  <c r="F218" i="12"/>
  <c r="F206" i="12"/>
  <c r="F202" i="12"/>
  <c r="F190" i="12"/>
  <c r="F178" i="12"/>
  <c r="F177" i="12"/>
  <c r="F130" i="12"/>
  <c r="F126" i="12"/>
  <c r="F185" i="12"/>
  <c r="F169" i="12"/>
  <c r="F161" i="12"/>
  <c r="F160" i="12"/>
  <c r="F153" i="12"/>
  <c r="F145" i="12"/>
  <c r="F144" i="12"/>
  <c r="F117" i="12"/>
  <c r="F113" i="12"/>
  <c r="F109" i="12"/>
  <c r="F105" i="12"/>
  <c r="F101" i="12"/>
  <c r="F97" i="12"/>
  <c r="F93" i="12"/>
  <c r="F89" i="12"/>
  <c r="F85" i="12"/>
  <c r="F81" i="12"/>
  <c r="F80" i="12"/>
  <c r="F220" i="12"/>
  <c r="F219" i="12"/>
  <c r="F212" i="12"/>
  <c r="F196" i="12"/>
  <c r="F192" i="12"/>
  <c r="F191" i="12"/>
  <c r="F180" i="12"/>
  <c r="F179" i="12"/>
  <c r="F140" i="12"/>
  <c r="F136" i="12"/>
  <c r="L12" i="12"/>
  <c r="F224" i="12"/>
  <c r="F222" i="12"/>
  <c r="F193" i="12"/>
  <c r="F165" i="12"/>
  <c r="F164" i="12"/>
  <c r="F141" i="12"/>
  <c r="F137" i="12"/>
  <c r="D119" i="12"/>
  <c r="J94" i="12"/>
  <c r="J98" i="12"/>
  <c r="J102" i="12"/>
  <c r="J106" i="12"/>
  <c r="J110" i="12"/>
  <c r="J114" i="12"/>
  <c r="V125" i="12"/>
  <c r="F163" i="12"/>
  <c r="F182" i="12"/>
  <c r="F187" i="12"/>
  <c r="Z210" i="12"/>
  <c r="X210" i="12"/>
  <c r="L213" i="12"/>
  <c r="N213" i="12" s="1"/>
  <c r="N215" i="12"/>
  <c r="V217" i="12"/>
  <c r="N142" i="15"/>
  <c r="F168" i="3"/>
  <c r="F207" i="3"/>
  <c r="N17" i="9"/>
  <c r="H103" i="9"/>
  <c r="F101" i="3"/>
  <c r="F113" i="3"/>
  <c r="F117" i="3"/>
  <c r="J168" i="3"/>
  <c r="J190" i="3"/>
  <c r="J236" i="3"/>
  <c r="J257" i="3"/>
  <c r="Z149" i="12"/>
  <c r="Z162" i="12"/>
  <c r="N12" i="3"/>
  <c r="P12" i="3"/>
  <c r="F99" i="3"/>
  <c r="F100" i="3"/>
  <c r="F104" i="3"/>
  <c r="F108" i="3"/>
  <c r="F112" i="3"/>
  <c r="F116" i="3"/>
  <c r="F120" i="3"/>
  <c r="F124" i="3"/>
  <c r="F128" i="3"/>
  <c r="F132" i="3"/>
  <c r="F136" i="3"/>
  <c r="F140" i="3"/>
  <c r="F144" i="3"/>
  <c r="J149" i="3"/>
  <c r="V151" i="3"/>
  <c r="V155" i="3"/>
  <c r="V159" i="3"/>
  <c r="J163" i="3"/>
  <c r="J167" i="3"/>
  <c r="F171" i="3"/>
  <c r="F172" i="3"/>
  <c r="J173" i="3"/>
  <c r="V175" i="3"/>
  <c r="F180" i="3"/>
  <c r="V183" i="3"/>
  <c r="J187" i="3"/>
  <c r="V191" i="3"/>
  <c r="F195" i="3"/>
  <c r="F196" i="3"/>
  <c r="V199" i="3"/>
  <c r="F203" i="3"/>
  <c r="F204" i="3"/>
  <c r="J205" i="3"/>
  <c r="V211" i="3"/>
  <c r="V215" i="3"/>
  <c r="J219" i="3"/>
  <c r="F224" i="3"/>
  <c r="V227" i="3"/>
  <c r="J231" i="3"/>
  <c r="J235" i="3"/>
  <c r="J239" i="3"/>
  <c r="F244" i="3"/>
  <c r="J245" i="3"/>
  <c r="F251" i="3"/>
  <c r="F252" i="3"/>
  <c r="V259" i="3"/>
  <c r="J269" i="3"/>
  <c r="J270" i="3"/>
  <c r="F22" i="6"/>
  <c r="F20" i="6"/>
  <c r="F18" i="6"/>
  <c r="F16" i="6"/>
  <c r="F14" i="6"/>
  <c r="F24" i="6"/>
  <c r="D16" i="6"/>
  <c r="F31" i="6"/>
  <c r="F29" i="6"/>
  <c r="F28" i="6"/>
  <c r="F26" i="6"/>
  <c r="L12" i="6"/>
  <c r="L29" i="6"/>
  <c r="F15" i="9"/>
  <c r="X32" i="9"/>
  <c r="Z32" i="9" s="1"/>
  <c r="V36" i="9"/>
  <c r="V40" i="9"/>
  <c r="Z47" i="9"/>
  <c r="X49" i="9"/>
  <c r="L62" i="9"/>
  <c r="N62" i="9" s="1"/>
  <c r="V67" i="9"/>
  <c r="V72" i="9"/>
  <c r="N77" i="9"/>
  <c r="Z89" i="9"/>
  <c r="L94" i="9"/>
  <c r="N94" i="9" s="1"/>
  <c r="J226" i="12"/>
  <c r="J199" i="12"/>
  <c r="J183" i="12"/>
  <c r="J173" i="12"/>
  <c r="J157" i="12"/>
  <c r="J149" i="12"/>
  <c r="J133" i="12"/>
  <c r="J115" i="12"/>
  <c r="J111" i="12"/>
  <c r="J107" i="12"/>
  <c r="J103" i="12"/>
  <c r="J99" i="12"/>
  <c r="J95" i="12"/>
  <c r="J91" i="12"/>
  <c r="J87" i="12"/>
  <c r="J83" i="12"/>
  <c r="J200" i="12"/>
  <c r="J194" i="12"/>
  <c r="J174" i="12"/>
  <c r="J166" i="12"/>
  <c r="J158" i="12"/>
  <c r="J150" i="12"/>
  <c r="J142" i="12"/>
  <c r="J138" i="12"/>
  <c r="J134" i="12"/>
  <c r="J217" i="12"/>
  <c r="J209" i="12"/>
  <c r="J205" i="12"/>
  <c r="J201" i="12"/>
  <c r="J189" i="12"/>
  <c r="J175" i="12"/>
  <c r="J167" i="12"/>
  <c r="J151" i="12"/>
  <c r="J129" i="12"/>
  <c r="J125" i="12"/>
  <c r="J230" i="12"/>
  <c r="J210" i="12"/>
  <c r="J184" i="12"/>
  <c r="J176" i="12"/>
  <c r="J168" i="12"/>
  <c r="J152" i="12"/>
  <c r="J116" i="12"/>
  <c r="J112" i="12"/>
  <c r="J108" i="12"/>
  <c r="J104" i="12"/>
  <c r="J100" i="12"/>
  <c r="J96" i="12"/>
  <c r="J92" i="12"/>
  <c r="J88" i="12"/>
  <c r="J84" i="12"/>
  <c r="J211" i="12"/>
  <c r="J195" i="12"/>
  <c r="J177" i="12"/>
  <c r="J159" i="12"/>
  <c r="J143" i="12"/>
  <c r="J139" i="12"/>
  <c r="J135" i="12"/>
  <c r="J218" i="12"/>
  <c r="J206" i="12"/>
  <c r="J202" i="12"/>
  <c r="J190" i="12"/>
  <c r="J178" i="12"/>
  <c r="J160" i="12"/>
  <c r="J144" i="12"/>
  <c r="J130" i="12"/>
  <c r="J126" i="12"/>
  <c r="J219" i="12"/>
  <c r="J191" i="12"/>
  <c r="J185" i="12"/>
  <c r="J179" i="12"/>
  <c r="J169" i="12"/>
  <c r="J161" i="12"/>
  <c r="J153" i="12"/>
  <c r="J145" i="12"/>
  <c r="J117" i="12"/>
  <c r="J113" i="12"/>
  <c r="J109" i="12"/>
  <c r="J105" i="12"/>
  <c r="J101" i="12"/>
  <c r="J97" i="12"/>
  <c r="J93" i="12"/>
  <c r="J89" i="12"/>
  <c r="J85" i="12"/>
  <c r="J81" i="12"/>
  <c r="J220" i="12"/>
  <c r="J212" i="12"/>
  <c r="J196" i="12"/>
  <c r="J192" i="12"/>
  <c r="J186" i="12"/>
  <c r="J180" i="12"/>
  <c r="J162" i="12"/>
  <c r="J154" i="12"/>
  <c r="J146" i="12"/>
  <c r="J140" i="12"/>
  <c r="J136" i="12"/>
  <c r="J122" i="12"/>
  <c r="N12" i="12"/>
  <c r="J213" i="12"/>
  <c r="J207" i="12"/>
  <c r="J203" i="12"/>
  <c r="J197" i="12"/>
  <c r="J187" i="12"/>
  <c r="J181" i="12"/>
  <c r="J163" i="12"/>
  <c r="J155" i="12"/>
  <c r="J147" i="12"/>
  <c r="J131" i="12"/>
  <c r="J127" i="12"/>
  <c r="J123" i="12"/>
  <c r="J121" i="12"/>
  <c r="J119" i="12"/>
  <c r="J225" i="12"/>
  <c r="J216" i="12"/>
  <c r="J208" i="12"/>
  <c r="J204" i="12"/>
  <c r="J188" i="12"/>
  <c r="J172" i="12"/>
  <c r="J156" i="12"/>
  <c r="J148" i="12"/>
  <c r="J132" i="12"/>
  <c r="J128" i="12"/>
  <c r="J124" i="12"/>
  <c r="F123" i="12"/>
  <c r="V134" i="12"/>
  <c r="Z154" i="12"/>
  <c r="F170" i="12"/>
  <c r="J182" i="12"/>
  <c r="F213" i="12"/>
  <c r="J215" i="12"/>
  <c r="P12" i="15"/>
  <c r="L219" i="15"/>
  <c r="D215" i="15"/>
  <c r="L215" i="15" s="1"/>
  <c r="J140" i="3"/>
  <c r="V192" i="3"/>
  <c r="J196" i="3"/>
  <c r="J204" i="3"/>
  <c r="V208" i="3"/>
  <c r="F213" i="3"/>
  <c r="V216" i="3"/>
  <c r="V220" i="3"/>
  <c r="J224" i="3"/>
  <c r="F229" i="3"/>
  <c r="J230" i="3"/>
  <c r="V232" i="3"/>
  <c r="V236" i="3"/>
  <c r="V240" i="3"/>
  <c r="J244" i="3"/>
  <c r="V248" i="3"/>
  <c r="J252" i="3"/>
  <c r="V258" i="3"/>
  <c r="F265" i="3"/>
  <c r="N29" i="6"/>
  <c r="F110" i="9"/>
  <c r="F107" i="9"/>
  <c r="F82" i="9"/>
  <c r="F70" i="9"/>
  <c r="F54" i="9"/>
  <c r="F46" i="9"/>
  <c r="F45" i="9"/>
  <c r="F30" i="9"/>
  <c r="F26" i="9"/>
  <c r="F22" i="9"/>
  <c r="L12" i="9"/>
  <c r="F65" i="9"/>
  <c r="F64" i="9"/>
  <c r="F96" i="9"/>
  <c r="F88" i="9"/>
  <c r="F84" i="9"/>
  <c r="F83" i="9"/>
  <c r="F76" i="9"/>
  <c r="F56" i="9"/>
  <c r="F55" i="9"/>
  <c r="F48" i="9"/>
  <c r="F47" i="9"/>
  <c r="F71" i="9"/>
  <c r="F31" i="9"/>
  <c r="F27" i="9"/>
  <c r="F23" i="9"/>
  <c r="F99" i="9"/>
  <c r="F90" i="9"/>
  <c r="F89" i="9"/>
  <c r="F78" i="9"/>
  <c r="F77" i="9"/>
  <c r="F66" i="9"/>
  <c r="F58" i="9"/>
  <c r="F57" i="9"/>
  <c r="F50" i="9"/>
  <c r="F49" i="9"/>
  <c r="F101" i="9"/>
  <c r="F68" i="9"/>
  <c r="F67" i="9"/>
  <c r="F60" i="9"/>
  <c r="F59" i="9"/>
  <c r="F28" i="9"/>
  <c r="F24" i="9"/>
  <c r="F91" i="9"/>
  <c r="F79" i="9"/>
  <c r="F51" i="9"/>
  <c r="F103" i="9"/>
  <c r="F86" i="9"/>
  <c r="F74" i="9"/>
  <c r="F42" i="9"/>
  <c r="F38" i="9"/>
  <c r="F34" i="9"/>
  <c r="F95" i="9"/>
  <c r="F94" i="9"/>
  <c r="F87" i="9"/>
  <c r="F75" i="9"/>
  <c r="N19" i="9"/>
  <c r="F35" i="9"/>
  <c r="V219" i="12"/>
  <c r="V211" i="12"/>
  <c r="V195" i="12"/>
  <c r="V191" i="12"/>
  <c r="V179" i="12"/>
  <c r="V159" i="12"/>
  <c r="V143" i="12"/>
  <c r="V139" i="12"/>
  <c r="V135" i="12"/>
  <c r="V218" i="12"/>
  <c r="V206" i="12"/>
  <c r="V202" i="12"/>
  <c r="V190" i="12"/>
  <c r="V186" i="12"/>
  <c r="V178" i="12"/>
  <c r="V162" i="12"/>
  <c r="V154" i="12"/>
  <c r="V146" i="12"/>
  <c r="V130" i="12"/>
  <c r="V126" i="12"/>
  <c r="V122" i="12"/>
  <c r="V213" i="12"/>
  <c r="V197" i="12"/>
  <c r="V185" i="12"/>
  <c r="V181" i="12"/>
  <c r="V169" i="12"/>
  <c r="V161" i="12"/>
  <c r="V153" i="12"/>
  <c r="V145" i="12"/>
  <c r="V121" i="12"/>
  <c r="V117" i="12"/>
  <c r="V113" i="12"/>
  <c r="V109" i="12"/>
  <c r="V105" i="12"/>
  <c r="V101" i="12"/>
  <c r="V97" i="12"/>
  <c r="V93" i="12"/>
  <c r="V89" i="12"/>
  <c r="V85" i="12"/>
  <c r="V81" i="12"/>
  <c r="V222" i="12"/>
  <c r="V220" i="12"/>
  <c r="V212" i="12"/>
  <c r="V196" i="12"/>
  <c r="V192" i="12"/>
  <c r="V180" i="12"/>
  <c r="V164" i="12"/>
  <c r="V140" i="12"/>
  <c r="V136" i="12"/>
  <c r="T119" i="12"/>
  <c r="V223" i="12"/>
  <c r="V215" i="12"/>
  <c r="V207" i="12"/>
  <c r="V203" i="12"/>
  <c r="V187" i="12"/>
  <c r="V171" i="12"/>
  <c r="V163" i="12"/>
  <c r="V155" i="12"/>
  <c r="V147" i="12"/>
  <c r="V131" i="12"/>
  <c r="V127" i="12"/>
  <c r="V123" i="12"/>
  <c r="V224" i="12"/>
  <c r="V214" i="12"/>
  <c r="V198" i="12"/>
  <c r="V182" i="12"/>
  <c r="V170" i="12"/>
  <c r="V225" i="12"/>
  <c r="V193" i="12"/>
  <c r="V173" i="12"/>
  <c r="V165" i="12"/>
  <c r="V157" i="12"/>
  <c r="V149" i="12"/>
  <c r="V141" i="12"/>
  <c r="V137" i="12"/>
  <c r="V133" i="12"/>
  <c r="V226" i="12"/>
  <c r="V216" i="12"/>
  <c r="V208" i="12"/>
  <c r="V204" i="12"/>
  <c r="V200" i="12"/>
  <c r="V188" i="12"/>
  <c r="V172" i="12"/>
  <c r="V156" i="12"/>
  <c r="V148" i="12"/>
  <c r="V132" i="12"/>
  <c r="V128" i="12"/>
  <c r="V124" i="12"/>
  <c r="V199" i="12"/>
  <c r="V183" i="12"/>
  <c r="V175" i="12"/>
  <c r="V167" i="12"/>
  <c r="V151" i="12"/>
  <c r="V115" i="12"/>
  <c r="V111" i="12"/>
  <c r="V107" i="12"/>
  <c r="V103" i="12"/>
  <c r="V99" i="12"/>
  <c r="V95" i="12"/>
  <c r="V91" i="12"/>
  <c r="V87" i="12"/>
  <c r="V83" i="12"/>
  <c r="V230" i="12"/>
  <c r="V184" i="12"/>
  <c r="V176" i="12"/>
  <c r="V168" i="12"/>
  <c r="V160" i="12"/>
  <c r="V152" i="12"/>
  <c r="V144" i="12"/>
  <c r="V116" i="12"/>
  <c r="V112" i="12"/>
  <c r="V108" i="12"/>
  <c r="V104" i="12"/>
  <c r="V100" i="12"/>
  <c r="V96" i="12"/>
  <c r="V92" i="12"/>
  <c r="V88" i="12"/>
  <c r="V84" i="12"/>
  <c r="V80" i="12"/>
  <c r="F121" i="12"/>
  <c r="F146" i="12"/>
  <c r="V194" i="12"/>
  <c r="L140" i="15"/>
  <c r="N140" i="15" s="1"/>
  <c r="Z142" i="15"/>
  <c r="F164" i="3"/>
  <c r="F220" i="3"/>
  <c r="Z164" i="18"/>
  <c r="X164" i="18"/>
  <c r="F137" i="3"/>
  <c r="J182" i="3"/>
  <c r="F188" i="3"/>
  <c r="J248" i="3"/>
  <c r="J100" i="3"/>
  <c r="J144" i="3"/>
  <c r="F157" i="3"/>
  <c r="V168" i="3"/>
  <c r="V101" i="3"/>
  <c r="V105" i="3"/>
  <c r="V113" i="3"/>
  <c r="V117" i="3"/>
  <c r="V121" i="3"/>
  <c r="V125" i="3"/>
  <c r="V129" i="3"/>
  <c r="V133" i="3"/>
  <c r="V137" i="3"/>
  <c r="V141" i="3"/>
  <c r="J153" i="3"/>
  <c r="J157" i="3"/>
  <c r="F162" i="3"/>
  <c r="F166" i="3"/>
  <c r="F170" i="3"/>
  <c r="J171" i="3"/>
  <c r="V181" i="3"/>
  <c r="F185" i="3"/>
  <c r="F186" i="3"/>
  <c r="V189" i="3"/>
  <c r="F194" i="3"/>
  <c r="J195" i="3"/>
  <c r="V197" i="3"/>
  <c r="F201" i="3"/>
  <c r="F202" i="3"/>
  <c r="J203" i="3"/>
  <c r="V209" i="3"/>
  <c r="J213" i="3"/>
  <c r="F218" i="3"/>
  <c r="V221" i="3"/>
  <c r="V225" i="3"/>
  <c r="J229" i="3"/>
  <c r="F234" i="3"/>
  <c r="F238" i="3"/>
  <c r="F250" i="3"/>
  <c r="J251" i="3"/>
  <c r="P254" i="3"/>
  <c r="X254" i="3" s="1"/>
  <c r="Z254" i="3" s="1"/>
  <c r="V257" i="3"/>
  <c r="J265" i="3"/>
  <c r="V31" i="9"/>
  <c r="V44" i="9"/>
  <c r="Z49" i="9"/>
  <c r="V71" i="9"/>
  <c r="F73" i="9"/>
  <c r="X77" i="9"/>
  <c r="Z77" i="9" s="1"/>
  <c r="Z83" i="9"/>
  <c r="V96" i="9"/>
  <c r="V82" i="12"/>
  <c r="V86" i="12"/>
  <c r="V90" i="12"/>
  <c r="V94" i="12"/>
  <c r="V98" i="12"/>
  <c r="V102" i="12"/>
  <c r="V106" i="12"/>
  <c r="V110" i="12"/>
  <c r="V114" i="12"/>
  <c r="N121" i="12"/>
  <c r="J137" i="12"/>
  <c r="V150" i="12"/>
  <c r="F155" i="12"/>
  <c r="Z167" i="12"/>
  <c r="L197" i="12"/>
  <c r="V201" i="12"/>
  <c r="J224" i="12"/>
  <c r="N118" i="15"/>
  <c r="J140" i="15"/>
  <c r="V142" i="15"/>
  <c r="F248" i="3"/>
  <c r="F121" i="3"/>
  <c r="F141" i="3"/>
  <c r="J164" i="3"/>
  <c r="F181" i="3"/>
  <c r="J220" i="3"/>
  <c r="J124" i="3"/>
  <c r="J128" i="3"/>
  <c r="J136" i="3"/>
  <c r="J99" i="3"/>
  <c r="V109" i="3"/>
  <c r="F103" i="3"/>
  <c r="F107" i="3"/>
  <c r="F111" i="3"/>
  <c r="F115" i="3"/>
  <c r="F119" i="3"/>
  <c r="F123" i="3"/>
  <c r="F127" i="3"/>
  <c r="F131" i="3"/>
  <c r="F135" i="3"/>
  <c r="F139" i="3"/>
  <c r="F143" i="3"/>
  <c r="V150" i="3"/>
  <c r="V154" i="3"/>
  <c r="V158" i="3"/>
  <c r="J162" i="3"/>
  <c r="J166" i="3"/>
  <c r="J170" i="3"/>
  <c r="V174" i="3"/>
  <c r="F178" i="3"/>
  <c r="F179" i="3"/>
  <c r="V182" i="3"/>
  <c r="J186" i="3"/>
  <c r="V190" i="3"/>
  <c r="J194" i="3"/>
  <c r="J202" i="3"/>
  <c r="V206" i="3"/>
  <c r="V214" i="3"/>
  <c r="J218" i="3"/>
  <c r="F223" i="3"/>
  <c r="J234" i="3"/>
  <c r="J238" i="3"/>
  <c r="F242" i="3"/>
  <c r="F243" i="3"/>
  <c r="V246" i="3"/>
  <c r="J250" i="3"/>
  <c r="V256" i="3"/>
  <c r="R22" i="6"/>
  <c r="R20" i="6"/>
  <c r="R18" i="6"/>
  <c r="R16" i="6"/>
  <c r="R14" i="6"/>
  <c r="P16" i="6"/>
  <c r="H16" i="6"/>
  <c r="X18" i="6"/>
  <c r="X29" i="6"/>
  <c r="Z19" i="9"/>
  <c r="F21" i="9"/>
  <c r="F33" i="9"/>
  <c r="F39" i="9"/>
  <c r="L43" i="9"/>
  <c r="F52" i="9"/>
  <c r="N57" i="9"/>
  <c r="L59" i="9"/>
  <c r="N59" i="9" s="1"/>
  <c r="F61" i="9"/>
  <c r="F80" i="9"/>
  <c r="N144" i="12"/>
  <c r="F197" i="12"/>
  <c r="Z213" i="12"/>
  <c r="Z215" i="12"/>
  <c r="X226" i="12"/>
  <c r="P222" i="12"/>
  <c r="X222" i="12" s="1"/>
  <c r="Z222" i="12" s="1"/>
  <c r="X78" i="15"/>
  <c r="X129" i="15"/>
  <c r="Z129" i="15" s="1"/>
  <c r="N167" i="15"/>
  <c r="Z171" i="15"/>
  <c r="Z173" i="15"/>
  <c r="X175" i="15"/>
  <c r="Z175" i="15" s="1"/>
  <c r="F148" i="3"/>
  <c r="F153" i="3"/>
  <c r="V164" i="3"/>
  <c r="J103" i="3"/>
  <c r="J107" i="3"/>
  <c r="J111" i="3"/>
  <c r="J115" i="3"/>
  <c r="J119" i="3"/>
  <c r="J123" i="3"/>
  <c r="J127" i="3"/>
  <c r="J131" i="3"/>
  <c r="J135" i="3"/>
  <c r="J139" i="3"/>
  <c r="J143" i="3"/>
  <c r="T146" i="3"/>
  <c r="F152" i="3"/>
  <c r="F156" i="3"/>
  <c r="V163" i="3"/>
  <c r="V167" i="3"/>
  <c r="J179" i="3"/>
  <c r="X182" i="3"/>
  <c r="Z182" i="3" s="1"/>
  <c r="F184" i="3"/>
  <c r="J185" i="3"/>
  <c r="V187" i="3"/>
  <c r="X190" i="3"/>
  <c r="Z190" i="3" s="1"/>
  <c r="F199" i="3"/>
  <c r="F200" i="3"/>
  <c r="J201" i="3"/>
  <c r="V207" i="3"/>
  <c r="F211" i="3"/>
  <c r="F212" i="3"/>
  <c r="V219" i="3"/>
  <c r="J223" i="3"/>
  <c r="F227" i="3"/>
  <c r="F228" i="3"/>
  <c r="V231" i="3"/>
  <c r="V235" i="3"/>
  <c r="V239" i="3"/>
  <c r="J243" i="3"/>
  <c r="V247" i="3"/>
  <c r="V255" i="3"/>
  <c r="F261" i="3"/>
  <c r="P12" i="9"/>
  <c r="V19" i="9"/>
  <c r="F37" i="9"/>
  <c r="F41" i="9"/>
  <c r="F43" i="9"/>
  <c r="Z55" i="9"/>
  <c r="V66" i="9"/>
  <c r="X98" i="9"/>
  <c r="P12" i="12"/>
  <c r="F131" i="12"/>
  <c r="V174" i="12"/>
  <c r="J193" i="12"/>
  <c r="N197" i="12"/>
  <c r="F207" i="12"/>
  <c r="V209" i="12"/>
  <c r="N222" i="12"/>
  <c r="D12" i="15"/>
  <c r="L18" i="15"/>
  <c r="F232" i="3"/>
  <c r="F133" i="3"/>
  <c r="L67" i="9"/>
  <c r="N67" i="9" s="1"/>
  <c r="J104" i="3"/>
  <c r="J108" i="3"/>
  <c r="V160" i="3"/>
  <c r="J172" i="3"/>
  <c r="V176" i="3"/>
  <c r="J180" i="3"/>
  <c r="V100" i="3"/>
  <c r="V104" i="3"/>
  <c r="V108" i="3"/>
  <c r="V112" i="3"/>
  <c r="V116" i="3"/>
  <c r="V120" i="3"/>
  <c r="V124" i="3"/>
  <c r="V128" i="3"/>
  <c r="V132" i="3"/>
  <c r="V136" i="3"/>
  <c r="V140" i="3"/>
  <c r="V144" i="3"/>
  <c r="V146" i="3"/>
  <c r="V148" i="3"/>
  <c r="J152" i="3"/>
  <c r="J156" i="3"/>
  <c r="F160" i="3"/>
  <c r="F161" i="3"/>
  <c r="F165" i="3"/>
  <c r="F169" i="3"/>
  <c r="V172" i="3"/>
  <c r="F176" i="3"/>
  <c r="F177" i="3"/>
  <c r="J178" i="3"/>
  <c r="V180" i="3"/>
  <c r="J184" i="3"/>
  <c r="V188" i="3"/>
  <c r="F192" i="3"/>
  <c r="F193" i="3"/>
  <c r="V196" i="3"/>
  <c r="J200" i="3"/>
  <c r="V204" i="3"/>
  <c r="J212" i="3"/>
  <c r="F216" i="3"/>
  <c r="F217" i="3"/>
  <c r="V224" i="3"/>
  <c r="J228" i="3"/>
  <c r="F233" i="3"/>
  <c r="F237" i="3"/>
  <c r="F241" i="3"/>
  <c r="J242" i="3"/>
  <c r="V244" i="3"/>
  <c r="F249" i="3"/>
  <c r="V252" i="3"/>
  <c r="V254" i="3"/>
  <c r="F260" i="3"/>
  <c r="J261" i="3"/>
  <c r="Z29" i="6"/>
  <c r="V103" i="9"/>
  <c r="V101" i="9"/>
  <c r="V85" i="9"/>
  <c r="V73" i="9"/>
  <c r="V41" i="9"/>
  <c r="V37" i="9"/>
  <c r="V33" i="9"/>
  <c r="V92" i="9"/>
  <c r="V80" i="9"/>
  <c r="V68" i="9"/>
  <c r="V60" i="9"/>
  <c r="V52" i="9"/>
  <c r="V28" i="9"/>
  <c r="V24" i="9"/>
  <c r="V20" i="9"/>
  <c r="V91" i="9"/>
  <c r="V79" i="9"/>
  <c r="V51" i="9"/>
  <c r="V94" i="9"/>
  <c r="V86" i="9"/>
  <c r="V74" i="9"/>
  <c r="V62" i="9"/>
  <c r="V42" i="9"/>
  <c r="V38" i="9"/>
  <c r="V34" i="9"/>
  <c r="T17" i="9"/>
  <c r="V110" i="9"/>
  <c r="V107" i="9"/>
  <c r="V105" i="9"/>
  <c r="V93" i="9"/>
  <c r="V81" i="9"/>
  <c r="V69" i="9"/>
  <c r="V61" i="9"/>
  <c r="V53" i="9"/>
  <c r="V45" i="9"/>
  <c r="V29" i="9"/>
  <c r="V25" i="9"/>
  <c r="V21" i="9"/>
  <c r="V95" i="9"/>
  <c r="V87" i="9"/>
  <c r="V83" i="9"/>
  <c r="V75" i="9"/>
  <c r="V63" i="9"/>
  <c r="V55" i="9"/>
  <c r="V47" i="9"/>
  <c r="V39" i="9"/>
  <c r="V35" i="9"/>
  <c r="V82" i="9"/>
  <c r="V70" i="9"/>
  <c r="V54" i="9"/>
  <c r="V46" i="9"/>
  <c r="V30" i="9"/>
  <c r="V26" i="9"/>
  <c r="V22" i="9"/>
  <c r="Z12" i="9"/>
  <c r="V89" i="9"/>
  <c r="V77" i="9"/>
  <c r="V65" i="9"/>
  <c r="V57" i="9"/>
  <c r="V49" i="9"/>
  <c r="V100" i="9"/>
  <c r="V90" i="9"/>
  <c r="V78" i="9"/>
  <c r="V15" i="9"/>
  <c r="F25" i="9"/>
  <c r="N43" i="9"/>
  <c r="V50" i="9"/>
  <c r="X57" i="9"/>
  <c r="Z57" i="9" s="1"/>
  <c r="Z59" i="9"/>
  <c r="F93" i="9"/>
  <c r="F98" i="9"/>
  <c r="X13" i="12"/>
  <c r="Z13" i="12" s="1"/>
  <c r="V142" i="12"/>
  <c r="Z157" i="12"/>
  <c r="N164" i="12"/>
  <c r="L164" i="12"/>
  <c r="L181" i="12"/>
  <c r="N181" i="12" s="1"/>
  <c r="F214" i="12"/>
  <c r="J222" i="12"/>
  <c r="Z78" i="15"/>
  <c r="V78" i="15"/>
  <c r="F125" i="3"/>
  <c r="F189" i="3"/>
  <c r="F197" i="3"/>
  <c r="J208" i="3"/>
  <c r="F225" i="3"/>
  <c r="J232" i="3"/>
  <c r="J240" i="3"/>
  <c r="F254" i="3"/>
  <c r="J112" i="3"/>
  <c r="J116" i="3"/>
  <c r="J120" i="3"/>
  <c r="J132" i="3"/>
  <c r="F102" i="3"/>
  <c r="F106" i="3"/>
  <c r="F110" i="3"/>
  <c r="F114" i="3"/>
  <c r="F118" i="3"/>
  <c r="F122" i="3"/>
  <c r="F126" i="3"/>
  <c r="F130" i="3"/>
  <c r="F134" i="3"/>
  <c r="F138" i="3"/>
  <c r="F142" i="3"/>
  <c r="V149" i="3"/>
  <c r="V153" i="3"/>
  <c r="V157" i="3"/>
  <c r="J161" i="3"/>
  <c r="J165" i="3"/>
  <c r="J169" i="3"/>
  <c r="V173" i="3"/>
  <c r="J177" i="3"/>
  <c r="J193" i="3"/>
  <c r="F198" i="3"/>
  <c r="J199" i="3"/>
  <c r="V205" i="3"/>
  <c r="F209" i="3"/>
  <c r="F210" i="3"/>
  <c r="J211" i="3"/>
  <c r="V213" i="3"/>
  <c r="J217" i="3"/>
  <c r="F221" i="3"/>
  <c r="F222" i="3"/>
  <c r="F226" i="3"/>
  <c r="J227" i="3"/>
  <c r="V229" i="3"/>
  <c r="J233" i="3"/>
  <c r="J237" i="3"/>
  <c r="J241" i="3"/>
  <c r="V245" i="3"/>
  <c r="J249" i="3"/>
  <c r="V265" i="3"/>
  <c r="V269" i="3"/>
  <c r="V270" i="3"/>
  <c r="L28" i="6"/>
  <c r="N28" i="6" s="1"/>
  <c r="D17" i="9"/>
  <c r="F32" i="9"/>
  <c r="V48" i="9"/>
  <c r="V59" i="9"/>
  <c r="F72" i="9"/>
  <c r="F100" i="9"/>
  <c r="F147" i="12"/>
  <c r="F162" i="12"/>
  <c r="J164" i="12"/>
  <c r="V166" i="12"/>
  <c r="F181" i="12"/>
  <c r="F186" i="12"/>
  <c r="N191" i="12"/>
  <c r="Z197" i="12"/>
  <c r="J214" i="12"/>
  <c r="Z118" i="15"/>
  <c r="X147" i="15"/>
  <c r="N215" i="15"/>
  <c r="X239" i="18"/>
  <c r="Z239" i="18" s="1"/>
  <c r="P237" i="18"/>
  <c r="X237" i="18" s="1"/>
  <c r="V107" i="15"/>
  <c r="V111" i="15"/>
  <c r="J117" i="15"/>
  <c r="J119" i="15"/>
  <c r="J123" i="15"/>
  <c r="J127" i="15"/>
  <c r="J141" i="15"/>
  <c r="X142" i="15"/>
  <c r="J150" i="15"/>
  <c r="J160" i="15"/>
  <c r="J168" i="15"/>
  <c r="L173" i="15"/>
  <c r="N173" i="15" s="1"/>
  <c r="V182" i="15"/>
  <c r="V184" i="15"/>
  <c r="V187" i="15"/>
  <c r="J192" i="15"/>
  <c r="D12" i="18"/>
  <c r="D110" i="21"/>
  <c r="V24" i="6"/>
  <c r="V26" i="6"/>
  <c r="V28" i="6"/>
  <c r="V29" i="6"/>
  <c r="V31" i="6"/>
  <c r="J17" i="9"/>
  <c r="J19" i="9"/>
  <c r="J21" i="9"/>
  <c r="J25" i="9"/>
  <c r="J29" i="9"/>
  <c r="J43" i="9"/>
  <c r="J53" i="9"/>
  <c r="J61" i="9"/>
  <c r="J69" i="9"/>
  <c r="J81" i="9"/>
  <c r="J93" i="9"/>
  <c r="J105" i="9"/>
  <c r="L223" i="12"/>
  <c r="N223" i="12" s="1"/>
  <c r="V86" i="15"/>
  <c r="V90" i="15"/>
  <c r="V94" i="15"/>
  <c r="V98" i="15"/>
  <c r="V102" i="15"/>
  <c r="V106" i="15"/>
  <c r="V110" i="15"/>
  <c r="J122" i="15"/>
  <c r="J126" i="15"/>
  <c r="V141" i="15"/>
  <c r="V146" i="15"/>
  <c r="V147" i="15"/>
  <c r="J149" i="15"/>
  <c r="X150" i="15"/>
  <c r="Z150" i="15" s="1"/>
  <c r="J167" i="15"/>
  <c r="J173" i="15"/>
  <c r="V215" i="15"/>
  <c r="X14" i="18"/>
  <c r="P12" i="18"/>
  <c r="N167" i="18"/>
  <c r="N182" i="18"/>
  <c r="N189" i="18"/>
  <c r="N191" i="18"/>
  <c r="N197" i="18"/>
  <c r="N215" i="18"/>
  <c r="X67" i="24"/>
  <c r="Z67" i="24" s="1"/>
  <c r="J34" i="9"/>
  <c r="J38" i="9"/>
  <c r="J42" i="9"/>
  <c r="J52" i="9"/>
  <c r="J74" i="9"/>
  <c r="J80" i="9"/>
  <c r="J86" i="9"/>
  <c r="J92" i="9"/>
  <c r="V119" i="15"/>
  <c r="V123" i="15"/>
  <c r="V127" i="15"/>
  <c r="J131" i="15"/>
  <c r="J135" i="15"/>
  <c r="J139" i="15"/>
  <c r="J158" i="15"/>
  <c r="V168" i="15"/>
  <c r="V169" i="15"/>
  <c r="N180" i="15"/>
  <c r="V186" i="15"/>
  <c r="J188" i="15"/>
  <c r="V197" i="15"/>
  <c r="V204" i="15"/>
  <c r="N206" i="15"/>
  <c r="N151" i="18"/>
  <c r="X197" i="18"/>
  <c r="N225" i="18"/>
  <c r="N25" i="24"/>
  <c r="V67" i="24"/>
  <c r="Z78" i="27"/>
  <c r="X78" i="27"/>
  <c r="V78" i="27"/>
  <c r="J51" i="9"/>
  <c r="J79" i="9"/>
  <c r="J91" i="9"/>
  <c r="J103" i="9"/>
  <c r="J80" i="15"/>
  <c r="J84" i="15"/>
  <c r="J88" i="15"/>
  <c r="J92" i="15"/>
  <c r="J96" i="15"/>
  <c r="J100" i="15"/>
  <c r="J104" i="15"/>
  <c r="J108" i="15"/>
  <c r="J112" i="15"/>
  <c r="T115" i="15"/>
  <c r="V132" i="15"/>
  <c r="V136" i="15"/>
  <c r="V150" i="15"/>
  <c r="J152" i="15"/>
  <c r="V159" i="15"/>
  <c r="N163" i="15"/>
  <c r="J180" i="15"/>
  <c r="V181" i="15"/>
  <c r="J191" i="15"/>
  <c r="N203" i="15"/>
  <c r="L206" i="15"/>
  <c r="V210" i="15"/>
  <c r="Z167" i="18"/>
  <c r="Z169" i="18"/>
  <c r="N178" i="18"/>
  <c r="Z191" i="18"/>
  <c r="Z237" i="18"/>
  <c r="V108" i="21"/>
  <c r="V90" i="21"/>
  <c r="V86" i="21"/>
  <c r="V78" i="21"/>
  <c r="V62" i="21"/>
  <c r="V54" i="21"/>
  <c r="V26" i="21"/>
  <c r="V24" i="21"/>
  <c r="V22" i="21"/>
  <c r="Z12" i="21"/>
  <c r="V97" i="21"/>
  <c r="V85" i="21"/>
  <c r="V73" i="21"/>
  <c r="V65" i="21"/>
  <c r="V53" i="21"/>
  <c r="V45" i="21"/>
  <c r="V41" i="21"/>
  <c r="V37" i="21"/>
  <c r="T24" i="21"/>
  <c r="V96" i="21"/>
  <c r="V80" i="21"/>
  <c r="V64" i="21"/>
  <c r="V36" i="21"/>
  <c r="V32" i="21"/>
  <c r="V28" i="21"/>
  <c r="V99" i="21"/>
  <c r="V91" i="21"/>
  <c r="V87" i="21"/>
  <c r="V67" i="21"/>
  <c r="V55" i="21"/>
  <c r="V19" i="21"/>
  <c r="V98" i="21"/>
  <c r="V74" i="21"/>
  <c r="V66" i="21"/>
  <c r="V46" i="21"/>
  <c r="V42" i="21"/>
  <c r="V38" i="21"/>
  <c r="V100" i="21"/>
  <c r="V92" i="21"/>
  <c r="V88" i="21"/>
  <c r="V76" i="21"/>
  <c r="V68" i="21"/>
  <c r="V56" i="21"/>
  <c r="V48" i="21"/>
  <c r="V20" i="21"/>
  <c r="V75" i="21"/>
  <c r="V71" i="21"/>
  <c r="V59" i="21"/>
  <c r="V47" i="21"/>
  <c r="V43" i="21"/>
  <c r="V39" i="21"/>
  <c r="V104" i="21"/>
  <c r="V102" i="21"/>
  <c r="V94" i="21"/>
  <c r="V82" i="21"/>
  <c r="V70" i="21"/>
  <c r="V58" i="21"/>
  <c r="V50" i="21"/>
  <c r="V34" i="21"/>
  <c r="V30" i="21"/>
  <c r="V51" i="21"/>
  <c r="V35" i="21"/>
  <c r="V61" i="21"/>
  <c r="V93" i="21"/>
  <c r="V84" i="21"/>
  <c r="V69" i="21"/>
  <c r="V95" i="21"/>
  <c r="V52" i="21"/>
  <c r="V27" i="21"/>
  <c r="V79" i="21"/>
  <c r="V44" i="21"/>
  <c r="V40" i="21"/>
  <c r="V29" i="21"/>
  <c r="V101" i="21"/>
  <c r="V72" i="21"/>
  <c r="V57" i="21"/>
  <c r="V81" i="21"/>
  <c r="V21" i="21"/>
  <c r="V89" i="21"/>
  <c r="V83" i="21"/>
  <c r="V63" i="21"/>
  <c r="V60" i="21"/>
  <c r="L67" i="21"/>
  <c r="N67" i="21" s="1"/>
  <c r="V77" i="21"/>
  <c r="J176" i="15"/>
  <c r="J185" i="15"/>
  <c r="J194" i="15"/>
  <c r="V201" i="15"/>
  <c r="X180" i="18"/>
  <c r="Z180" i="18" s="1"/>
  <c r="Z197" i="18"/>
  <c r="L234" i="18"/>
  <c r="N234" i="18" s="1"/>
  <c r="T92" i="24"/>
  <c r="L62" i="24"/>
  <c r="N62" i="24" s="1"/>
  <c r="R169" i="30"/>
  <c r="R157" i="30"/>
  <c r="R163" i="30"/>
  <c r="R162" i="30"/>
  <c r="R165" i="30"/>
  <c r="R158" i="30"/>
  <c r="R152" i="30"/>
  <c r="R136" i="30"/>
  <c r="R121" i="30"/>
  <c r="R120" i="30"/>
  <c r="R113" i="30"/>
  <c r="R112" i="30"/>
  <c r="R101" i="30"/>
  <c r="R100" i="30"/>
  <c r="R96" i="30"/>
  <c r="R92" i="30"/>
  <c r="R147" i="30"/>
  <c r="R143" i="30"/>
  <c r="R87" i="30"/>
  <c r="R83" i="30"/>
  <c r="R159" i="30"/>
  <c r="R131" i="30"/>
  <c r="R130" i="30"/>
  <c r="R123" i="30"/>
  <c r="R122" i="30"/>
  <c r="R114" i="30"/>
  <c r="R103" i="30"/>
  <c r="R102" i="30"/>
  <c r="R74" i="30"/>
  <c r="R70" i="30"/>
  <c r="R66" i="30"/>
  <c r="R62" i="30"/>
  <c r="R58" i="30"/>
  <c r="R54" i="30"/>
  <c r="R164" i="30"/>
  <c r="R154" i="30"/>
  <c r="R153" i="30"/>
  <c r="R137" i="30"/>
  <c r="R97" i="30"/>
  <c r="R93" i="30"/>
  <c r="R148" i="30"/>
  <c r="R144" i="30"/>
  <c r="R132" i="30"/>
  <c r="R125" i="30"/>
  <c r="R124" i="30"/>
  <c r="R105" i="30"/>
  <c r="R104" i="30"/>
  <c r="R88" i="30"/>
  <c r="R84" i="30"/>
  <c r="R156" i="30"/>
  <c r="R155" i="30"/>
  <c r="R116" i="30"/>
  <c r="R115" i="30"/>
  <c r="R80" i="30"/>
  <c r="R75" i="30"/>
  <c r="R71" i="30"/>
  <c r="R67" i="30"/>
  <c r="R63" i="30"/>
  <c r="R59" i="30"/>
  <c r="R55" i="30"/>
  <c r="R139" i="30"/>
  <c r="R138" i="30"/>
  <c r="R127" i="30"/>
  <c r="R126" i="30"/>
  <c r="R107" i="30"/>
  <c r="R106" i="30"/>
  <c r="R98" i="30"/>
  <c r="R94" i="30"/>
  <c r="R79" i="30"/>
  <c r="R160" i="30"/>
  <c r="R149" i="30"/>
  <c r="R145" i="30"/>
  <c r="R133" i="30"/>
  <c r="R117" i="30"/>
  <c r="R90" i="30"/>
  <c r="R89" i="30"/>
  <c r="R85" i="30"/>
  <c r="R81" i="30"/>
  <c r="P77" i="30"/>
  <c r="R77" i="30" s="1"/>
  <c r="R140" i="30"/>
  <c r="R128" i="30"/>
  <c r="R109" i="30"/>
  <c r="R108" i="30"/>
  <c r="R72" i="30"/>
  <c r="R68" i="30"/>
  <c r="R64" i="30"/>
  <c r="R60" i="30"/>
  <c r="R56" i="30"/>
  <c r="X12" i="30"/>
  <c r="R142" i="30"/>
  <c r="R141" i="30"/>
  <c r="R129" i="30"/>
  <c r="R73" i="30"/>
  <c r="R69" i="30"/>
  <c r="R65" i="30"/>
  <c r="R61" i="30"/>
  <c r="R57" i="30"/>
  <c r="R53" i="30"/>
  <c r="R119" i="30"/>
  <c r="R99" i="30"/>
  <c r="R134" i="30"/>
  <c r="R82" i="30"/>
  <c r="R150" i="30"/>
  <c r="R91" i="30"/>
  <c r="R118" i="30"/>
  <c r="R110" i="30"/>
  <c r="R135" i="30"/>
  <c r="R95" i="30"/>
  <c r="R86" i="30"/>
  <c r="R52" i="30"/>
  <c r="R146" i="30"/>
  <c r="R111" i="30"/>
  <c r="V14" i="6"/>
  <c r="V16" i="6"/>
  <c r="V18" i="6"/>
  <c r="V20" i="6"/>
  <c r="J33" i="9"/>
  <c r="J37" i="9"/>
  <c r="J41" i="9"/>
  <c r="J59" i="9"/>
  <c r="J67" i="9"/>
  <c r="J73" i="9"/>
  <c r="J85" i="9"/>
  <c r="J100" i="9"/>
  <c r="J211" i="15"/>
  <c r="J199" i="15"/>
  <c r="J195" i="15"/>
  <c r="J183" i="15"/>
  <c r="J169" i="15"/>
  <c r="J153" i="15"/>
  <c r="J145" i="15"/>
  <c r="J212" i="15"/>
  <c r="J213" i="15"/>
  <c r="J206" i="15"/>
  <c r="J200" i="15"/>
  <c r="J196" i="15"/>
  <c r="J190" i="15"/>
  <c r="J184" i="15"/>
  <c r="J172" i="15"/>
  <c r="J164" i="15"/>
  <c r="J148" i="15"/>
  <c r="J216" i="15"/>
  <c r="J215" i="15"/>
  <c r="J218" i="15"/>
  <c r="J209" i="15"/>
  <c r="J201" i="15"/>
  <c r="J197" i="15"/>
  <c r="J181" i="15"/>
  <c r="J175" i="15"/>
  <c r="J219" i="15"/>
  <c r="J193" i="15"/>
  <c r="J187" i="15"/>
  <c r="X13" i="15"/>
  <c r="Z13" i="15" s="1"/>
  <c r="V118" i="15"/>
  <c r="V122" i="15"/>
  <c r="V126" i="15"/>
  <c r="J130" i="15"/>
  <c r="J134" i="15"/>
  <c r="J138" i="15"/>
  <c r="V140" i="15"/>
  <c r="J157" i="15"/>
  <c r="J162" i="15"/>
  <c r="V173" i="15"/>
  <c r="J179" i="15"/>
  <c r="V188" i="15"/>
  <c r="V180" i="18"/>
  <c r="J234" i="18"/>
  <c r="J62" i="24"/>
  <c r="V164" i="30"/>
  <c r="V163" i="30"/>
  <c r="V159" i="30"/>
  <c r="V147" i="30"/>
  <c r="V143" i="30"/>
  <c r="V131" i="30"/>
  <c r="V123" i="30"/>
  <c r="V103" i="30"/>
  <c r="V87" i="30"/>
  <c r="V83" i="30"/>
  <c r="V154" i="30"/>
  <c r="V130" i="30"/>
  <c r="V122" i="30"/>
  <c r="V114" i="30"/>
  <c r="V102" i="30"/>
  <c r="V74" i="30"/>
  <c r="V70" i="30"/>
  <c r="V66" i="30"/>
  <c r="V62" i="30"/>
  <c r="V58" i="30"/>
  <c r="V54" i="30"/>
  <c r="V153" i="30"/>
  <c r="V137" i="30"/>
  <c r="V125" i="30"/>
  <c r="V105" i="30"/>
  <c r="V97" i="30"/>
  <c r="V93" i="30"/>
  <c r="V156" i="30"/>
  <c r="V148" i="30"/>
  <c r="V144" i="30"/>
  <c r="V132" i="30"/>
  <c r="V124" i="30"/>
  <c r="V116" i="30"/>
  <c r="V104" i="30"/>
  <c r="V88" i="30"/>
  <c r="V84" i="30"/>
  <c r="V80" i="30"/>
  <c r="V155" i="30"/>
  <c r="V139" i="30"/>
  <c r="V127" i="30"/>
  <c r="V115" i="30"/>
  <c r="V107" i="30"/>
  <c r="V79" i="30"/>
  <c r="V77" i="30"/>
  <c r="V75" i="30"/>
  <c r="V71" i="30"/>
  <c r="V67" i="30"/>
  <c r="V63" i="30"/>
  <c r="V59" i="30"/>
  <c r="V55" i="30"/>
  <c r="V169" i="30"/>
  <c r="V138" i="30"/>
  <c r="V126" i="30"/>
  <c r="V106" i="30"/>
  <c r="V98" i="30"/>
  <c r="V94" i="30"/>
  <c r="V90" i="30"/>
  <c r="T77" i="30"/>
  <c r="V165" i="30"/>
  <c r="V160" i="30"/>
  <c r="V149" i="30"/>
  <c r="V145" i="30"/>
  <c r="V133" i="30"/>
  <c r="V117" i="30"/>
  <c r="V109" i="30"/>
  <c r="V89" i="30"/>
  <c r="V85" i="30"/>
  <c r="V81" i="30"/>
  <c r="V157" i="30"/>
  <c r="V140" i="30"/>
  <c r="V128" i="30"/>
  <c r="V108" i="30"/>
  <c r="V72" i="30"/>
  <c r="V68" i="30"/>
  <c r="V64" i="30"/>
  <c r="V60" i="30"/>
  <c r="V56" i="30"/>
  <c r="V52" i="30"/>
  <c r="Z12" i="30"/>
  <c r="V151" i="30"/>
  <c r="V135" i="30"/>
  <c r="V119" i="30"/>
  <c r="V111" i="30"/>
  <c r="V99" i="30"/>
  <c r="V95" i="30"/>
  <c r="V91" i="30"/>
  <c r="V158" i="30"/>
  <c r="V152" i="30"/>
  <c r="V136" i="30"/>
  <c r="V120" i="30"/>
  <c r="V112" i="30"/>
  <c r="V100" i="30"/>
  <c r="V96" i="30"/>
  <c r="V92" i="30"/>
  <c r="V113" i="30"/>
  <c r="V141" i="30"/>
  <c r="V121" i="30"/>
  <c r="V134" i="30"/>
  <c r="V82" i="30"/>
  <c r="V150" i="30"/>
  <c r="V142" i="30"/>
  <c r="V129" i="30"/>
  <c r="V53" i="30"/>
  <c r="V73" i="30"/>
  <c r="V69" i="30"/>
  <c r="V65" i="30"/>
  <c r="V61" i="30"/>
  <c r="V57" i="30"/>
  <c r="V118" i="30"/>
  <c r="V110" i="30"/>
  <c r="V86" i="30"/>
  <c r="V162" i="30"/>
  <c r="V101" i="30"/>
  <c r="Z162" i="30"/>
  <c r="J50" i="9"/>
  <c r="J58" i="9"/>
  <c r="J66" i="9"/>
  <c r="J72" i="9"/>
  <c r="J78" i="9"/>
  <c r="J90" i="9"/>
  <c r="J98" i="9"/>
  <c r="J99" i="9"/>
  <c r="J79" i="15"/>
  <c r="J83" i="15"/>
  <c r="J87" i="15"/>
  <c r="J91" i="15"/>
  <c r="J95" i="15"/>
  <c r="J99" i="15"/>
  <c r="J103" i="15"/>
  <c r="J107" i="15"/>
  <c r="J111" i="15"/>
  <c r="J129" i="15"/>
  <c r="V131" i="15"/>
  <c r="V135" i="15"/>
  <c r="N156" i="15"/>
  <c r="J171" i="15"/>
  <c r="V172" i="15"/>
  <c r="J198" i="15"/>
  <c r="X203" i="15"/>
  <c r="Z203" i="15" s="1"/>
  <c r="J205" i="15"/>
  <c r="X172" i="18"/>
  <c r="Z172" i="18" s="1"/>
  <c r="N230" i="18"/>
  <c r="V112" i="15"/>
  <c r="J120" i="15"/>
  <c r="J124" i="15"/>
  <c r="J128" i="15"/>
  <c r="J142" i="15"/>
  <c r="N147" i="15"/>
  <c r="J151" i="15"/>
  <c r="V152" i="15"/>
  <c r="V153" i="15"/>
  <c r="J156" i="15"/>
  <c r="V158" i="15"/>
  <c r="V167" i="15"/>
  <c r="J170" i="15"/>
  <c r="J182" i="15"/>
  <c r="Z185" i="15"/>
  <c r="N193" i="15"/>
  <c r="V194" i="15"/>
  <c r="V196" i="15"/>
  <c r="V206" i="15"/>
  <c r="V209" i="15"/>
  <c r="V216" i="15"/>
  <c r="X140" i="18"/>
  <c r="Z140" i="18" s="1"/>
  <c r="N156" i="30"/>
  <c r="L156" i="30"/>
  <c r="J156" i="30"/>
  <c r="J36" i="9"/>
  <c r="J40" i="9"/>
  <c r="J48" i="9"/>
  <c r="J56" i="9"/>
  <c r="J76" i="9"/>
  <c r="J84" i="9"/>
  <c r="J88" i="9"/>
  <c r="J96" i="9"/>
  <c r="V121" i="15"/>
  <c r="V125" i="15"/>
  <c r="J133" i="15"/>
  <c r="J137" i="15"/>
  <c r="V143" i="15"/>
  <c r="J147" i="15"/>
  <c r="V148" i="15"/>
  <c r="V157" i="15"/>
  <c r="J161" i="15"/>
  <c r="V166" i="15"/>
  <c r="J178" i="15"/>
  <c r="V180" i="15"/>
  <c r="V185" i="15"/>
  <c r="J202" i="15"/>
  <c r="J208" i="15"/>
  <c r="J223" i="15"/>
  <c r="V140" i="18"/>
  <c r="Z185" i="18"/>
  <c r="L73" i="24"/>
  <c r="N73" i="24" s="1"/>
  <c r="J47" i="9"/>
  <c r="J55" i="9"/>
  <c r="J65" i="9"/>
  <c r="V217" i="15"/>
  <c r="V207" i="15"/>
  <c r="V191" i="15"/>
  <c r="V179" i="15"/>
  <c r="V175" i="15"/>
  <c r="V155" i="15"/>
  <c r="V139" i="15"/>
  <c r="V218" i="15"/>
  <c r="V219" i="15"/>
  <c r="V192" i="15"/>
  <c r="V176" i="15"/>
  <c r="V160" i="15"/>
  <c r="V223" i="15"/>
  <c r="V177" i="15"/>
  <c r="V212" i="15"/>
  <c r="V211" i="15"/>
  <c r="V199" i="15"/>
  <c r="V195" i="15"/>
  <c r="V183" i="15"/>
  <c r="J82" i="15"/>
  <c r="J86" i="15"/>
  <c r="J90" i="15"/>
  <c r="J94" i="15"/>
  <c r="J98" i="15"/>
  <c r="J102" i="15"/>
  <c r="J106" i="15"/>
  <c r="J110" i="15"/>
  <c r="H115" i="15"/>
  <c r="V130" i="15"/>
  <c r="V134" i="15"/>
  <c r="V138" i="15"/>
  <c r="J146" i="15"/>
  <c r="J155" i="15"/>
  <c r="V162" i="15"/>
  <c r="V163" i="15"/>
  <c r="J165" i="15"/>
  <c r="J174" i="15"/>
  <c r="X185" i="15"/>
  <c r="J189" i="15"/>
  <c r="V198" i="15"/>
  <c r="V200" i="15"/>
  <c r="V205" i="15"/>
  <c r="V213" i="15"/>
  <c r="N139" i="18"/>
  <c r="N175" i="18"/>
  <c r="Z207" i="18"/>
  <c r="Z228" i="18"/>
  <c r="J73" i="24"/>
  <c r="R151" i="30"/>
  <c r="J94" i="18"/>
  <c r="J98" i="18"/>
  <c r="J102" i="18"/>
  <c r="J106" i="18"/>
  <c r="J110" i="18"/>
  <c r="J114" i="18"/>
  <c r="J118" i="18"/>
  <c r="J122" i="18"/>
  <c r="J126" i="18"/>
  <c r="J130" i="18"/>
  <c r="J134" i="18"/>
  <c r="T137" i="18"/>
  <c r="V154" i="18"/>
  <c r="V158" i="18"/>
  <c r="J170" i="18"/>
  <c r="V182" i="18"/>
  <c r="J186" i="18"/>
  <c r="J194" i="18"/>
  <c r="V198" i="18"/>
  <c r="J206" i="18"/>
  <c r="J212" i="18"/>
  <c r="V214" i="18"/>
  <c r="J218" i="18"/>
  <c r="J222" i="18"/>
  <c r="J228" i="18"/>
  <c r="L238" i="18"/>
  <c r="V242" i="18"/>
  <c r="R49" i="21"/>
  <c r="F67" i="21"/>
  <c r="R77" i="21"/>
  <c r="X76" i="24"/>
  <c r="Z76" i="24" s="1"/>
  <c r="R92" i="27"/>
  <c r="Z119" i="30"/>
  <c r="J93" i="18"/>
  <c r="J97" i="18"/>
  <c r="J101" i="18"/>
  <c r="J105" i="18"/>
  <c r="J109" i="18"/>
  <c r="J113" i="18"/>
  <c r="J117" i="18"/>
  <c r="J121" i="18"/>
  <c r="J125" i="18"/>
  <c r="J129" i="18"/>
  <c r="J133" i="18"/>
  <c r="J151" i="18"/>
  <c r="V153" i="18"/>
  <c r="V157" i="18"/>
  <c r="V161" i="18"/>
  <c r="J167" i="18"/>
  <c r="J175" i="18"/>
  <c r="V177" i="18"/>
  <c r="J191" i="18"/>
  <c r="V197" i="18"/>
  <c r="V201" i="18"/>
  <c r="J205" i="18"/>
  <c r="V213" i="18"/>
  <c r="J217" i="18"/>
  <c r="J221" i="18"/>
  <c r="V229" i="18"/>
  <c r="J233" i="18"/>
  <c r="V239" i="18"/>
  <c r="R72" i="21"/>
  <c r="R94" i="21"/>
  <c r="Z71" i="24"/>
  <c r="N79" i="24"/>
  <c r="R72" i="27"/>
  <c r="R84" i="27"/>
  <c r="Z90" i="30"/>
  <c r="N116" i="30"/>
  <c r="L116" i="30"/>
  <c r="Z151" i="30"/>
  <c r="D12" i="33"/>
  <c r="J92" i="18"/>
  <c r="V94" i="18"/>
  <c r="V98" i="18"/>
  <c r="V102" i="18"/>
  <c r="V106" i="18"/>
  <c r="V110" i="18"/>
  <c r="V114" i="18"/>
  <c r="V118" i="18"/>
  <c r="V122" i="18"/>
  <c r="V126" i="18"/>
  <c r="V130" i="18"/>
  <c r="V134" i="18"/>
  <c r="J142" i="18"/>
  <c r="J146" i="18"/>
  <c r="J150" i="18"/>
  <c r="V162" i="18"/>
  <c r="J166" i="18"/>
  <c r="V170" i="18"/>
  <c r="J174" i="18"/>
  <c r="V178" i="18"/>
  <c r="V186" i="18"/>
  <c r="J190" i="18"/>
  <c r="V194" i="18"/>
  <c r="V202" i="18"/>
  <c r="V206" i="18"/>
  <c r="J210" i="18"/>
  <c r="V218" i="18"/>
  <c r="V222" i="18"/>
  <c r="J226" i="18"/>
  <c r="V230" i="18"/>
  <c r="V238" i="18"/>
  <c r="J246" i="18"/>
  <c r="F75" i="21"/>
  <c r="F47" i="21"/>
  <c r="F43" i="21"/>
  <c r="F39" i="21"/>
  <c r="F102" i="21"/>
  <c r="F101" i="21"/>
  <c r="F82" i="21"/>
  <c r="F70" i="21"/>
  <c r="F69" i="21"/>
  <c r="F58" i="21"/>
  <c r="F57" i="21"/>
  <c r="F34" i="21"/>
  <c r="F30" i="21"/>
  <c r="F93" i="21"/>
  <c r="F89" i="21"/>
  <c r="F77" i="21"/>
  <c r="F76" i="21"/>
  <c r="F49" i="21"/>
  <c r="F48" i="21"/>
  <c r="F21" i="21"/>
  <c r="F72" i="21"/>
  <c r="F71" i="21"/>
  <c r="F60" i="21"/>
  <c r="F59" i="21"/>
  <c r="F44" i="21"/>
  <c r="F40" i="21"/>
  <c r="F106" i="21"/>
  <c r="F104" i="21"/>
  <c r="F95" i="21"/>
  <c r="F94" i="21"/>
  <c r="F83" i="21"/>
  <c r="F51" i="21"/>
  <c r="F50" i="21"/>
  <c r="F35" i="21"/>
  <c r="F31" i="21"/>
  <c r="F85" i="21"/>
  <c r="F84" i="21"/>
  <c r="F73" i="21"/>
  <c r="F53" i="21"/>
  <c r="F52" i="21"/>
  <c r="F45" i="21"/>
  <c r="F41" i="21"/>
  <c r="F96" i="21"/>
  <c r="F80" i="21"/>
  <c r="F79" i="21"/>
  <c r="F64" i="21"/>
  <c r="F63" i="21"/>
  <c r="F36" i="21"/>
  <c r="F32" i="21"/>
  <c r="F28" i="21"/>
  <c r="F27" i="21"/>
  <c r="F110" i="21"/>
  <c r="F91" i="21"/>
  <c r="F87" i="21"/>
  <c r="F86" i="21"/>
  <c r="F55" i="21"/>
  <c r="F54" i="21"/>
  <c r="F26" i="21"/>
  <c r="F24" i="21"/>
  <c r="R38" i="21"/>
  <c r="R40" i="21"/>
  <c r="R42" i="21"/>
  <c r="R44" i="21"/>
  <c r="R46" i="21"/>
  <c r="N52" i="21"/>
  <c r="F56" i="21"/>
  <c r="F61" i="21"/>
  <c r="F66" i="21"/>
  <c r="R67" i="21"/>
  <c r="R74" i="21"/>
  <c r="L84" i="21"/>
  <c r="N84" i="21" s="1"/>
  <c r="F88" i="21"/>
  <c r="Z94" i="21"/>
  <c r="F97" i="21"/>
  <c r="N37" i="24"/>
  <c r="D12" i="27"/>
  <c r="N36" i="27"/>
  <c r="R68" i="27"/>
  <c r="R101" i="27"/>
  <c r="N108" i="27"/>
  <c r="D12" i="30"/>
  <c r="J116" i="30"/>
  <c r="N131" i="30"/>
  <c r="Z135" i="30"/>
  <c r="V143" i="18"/>
  <c r="V147" i="18"/>
  <c r="J155" i="18"/>
  <c r="J159" i="18"/>
  <c r="J183" i="18"/>
  <c r="J189" i="18"/>
  <c r="V195" i="18"/>
  <c r="J199" i="18"/>
  <c r="V207" i="18"/>
  <c r="V211" i="18"/>
  <c r="J225" i="18"/>
  <c r="V227" i="18"/>
  <c r="V235" i="18"/>
  <c r="V237" i="18"/>
  <c r="F78" i="21"/>
  <c r="Z25" i="24"/>
  <c r="V25" i="24"/>
  <c r="J51" i="24"/>
  <c r="Z73" i="24"/>
  <c r="Z79" i="24"/>
  <c r="J36" i="27"/>
  <c r="Z79" i="30"/>
  <c r="J132" i="18"/>
  <c r="H137" i="18"/>
  <c r="V152" i="18"/>
  <c r="V156" i="18"/>
  <c r="V160" i="18"/>
  <c r="V168" i="18"/>
  <c r="V176" i="18"/>
  <c r="J182" i="18"/>
  <c r="V184" i="18"/>
  <c r="J188" i="18"/>
  <c r="V192" i="18"/>
  <c r="V200" i="18"/>
  <c r="J204" i="18"/>
  <c r="V212" i="18"/>
  <c r="J216" i="18"/>
  <c r="J220" i="18"/>
  <c r="J224" i="18"/>
  <c r="V228" i="18"/>
  <c r="J232" i="18"/>
  <c r="R95" i="21"/>
  <c r="R84" i="21"/>
  <c r="R83" i="21"/>
  <c r="R52" i="21"/>
  <c r="R51" i="21"/>
  <c r="R35" i="21"/>
  <c r="R31" i="21"/>
  <c r="R108" i="21"/>
  <c r="R90" i="21"/>
  <c r="R79" i="21"/>
  <c r="R78" i="21"/>
  <c r="R63" i="21"/>
  <c r="R62" i="21"/>
  <c r="R27" i="21"/>
  <c r="R22" i="21"/>
  <c r="R86" i="21"/>
  <c r="R85" i="21"/>
  <c r="R73" i="21"/>
  <c r="R54" i="21"/>
  <c r="R53" i="21"/>
  <c r="R45" i="21"/>
  <c r="R41" i="21"/>
  <c r="R26" i="21"/>
  <c r="R97" i="21"/>
  <c r="R96" i="21"/>
  <c r="R80" i="21"/>
  <c r="R65" i="21"/>
  <c r="R64" i="21"/>
  <c r="R37" i="21"/>
  <c r="R36" i="21"/>
  <c r="R32" i="21"/>
  <c r="R28" i="21"/>
  <c r="P24" i="21"/>
  <c r="R91" i="21"/>
  <c r="R87" i="21"/>
  <c r="R55" i="21"/>
  <c r="R81" i="21"/>
  <c r="R33" i="21"/>
  <c r="R29" i="21"/>
  <c r="R101" i="21"/>
  <c r="R100" i="21"/>
  <c r="R92" i="21"/>
  <c r="R88" i="21"/>
  <c r="R69" i="21"/>
  <c r="R68" i="21"/>
  <c r="R57" i="21"/>
  <c r="R56" i="21"/>
  <c r="R20" i="21"/>
  <c r="R76" i="21"/>
  <c r="R75" i="21"/>
  <c r="R48" i="21"/>
  <c r="R47" i="21"/>
  <c r="R43" i="21"/>
  <c r="R39" i="21"/>
  <c r="Z52" i="21"/>
  <c r="R110" i="27"/>
  <c r="R109" i="27"/>
  <c r="R78" i="27"/>
  <c r="R77" i="27"/>
  <c r="R73" i="27"/>
  <c r="R69" i="27"/>
  <c r="R96" i="27"/>
  <c r="R88" i="27"/>
  <c r="R64" i="27"/>
  <c r="R60" i="27"/>
  <c r="X12" i="27"/>
  <c r="Z12" i="27" s="1"/>
  <c r="R111" i="27"/>
  <c r="R103" i="27"/>
  <c r="R80" i="27"/>
  <c r="R79" i="27"/>
  <c r="R56" i="27"/>
  <c r="R51" i="27"/>
  <c r="R47" i="27"/>
  <c r="R43" i="27"/>
  <c r="R39" i="27"/>
  <c r="R114" i="27"/>
  <c r="R74" i="27"/>
  <c r="R70" i="27"/>
  <c r="R55" i="27"/>
  <c r="R115" i="27"/>
  <c r="R98" i="27"/>
  <c r="R97" i="27"/>
  <c r="R90" i="27"/>
  <c r="R89" i="27"/>
  <c r="R81" i="27"/>
  <c r="R65" i="27"/>
  <c r="R61" i="27"/>
  <c r="R57" i="27"/>
  <c r="P53" i="27"/>
  <c r="R116" i="27"/>
  <c r="R105" i="27"/>
  <c r="R104" i="27"/>
  <c r="R48" i="27"/>
  <c r="R44" i="27"/>
  <c r="R40" i="27"/>
  <c r="R99" i="27"/>
  <c r="R91" i="27"/>
  <c r="R75" i="27"/>
  <c r="R71" i="27"/>
  <c r="R36" i="27"/>
  <c r="R106" i="27"/>
  <c r="R83" i="27"/>
  <c r="R82" i="27"/>
  <c r="R67" i="27"/>
  <c r="R66" i="27"/>
  <c r="R62" i="27"/>
  <c r="R58" i="27"/>
  <c r="R49" i="27"/>
  <c r="R45" i="27"/>
  <c r="R41" i="27"/>
  <c r="R37" i="27"/>
  <c r="R102" i="27"/>
  <c r="R95" i="27"/>
  <c r="R94" i="27"/>
  <c r="R87" i="27"/>
  <c r="R86" i="27"/>
  <c r="R38" i="27"/>
  <c r="X95" i="27"/>
  <c r="Z95" i="27" s="1"/>
  <c r="R108" i="27"/>
  <c r="Z142" i="30"/>
  <c r="X142" i="30"/>
  <c r="T86" i="33"/>
  <c r="V86" i="33" s="1"/>
  <c r="V82" i="33"/>
  <c r="L80" i="33"/>
  <c r="N80" i="33" s="1"/>
  <c r="D79" i="33"/>
  <c r="L79" i="33" s="1"/>
  <c r="V93" i="18"/>
  <c r="V97" i="18"/>
  <c r="V101" i="18"/>
  <c r="V105" i="18"/>
  <c r="V109" i="18"/>
  <c r="V113" i="18"/>
  <c r="V117" i="18"/>
  <c r="V121" i="18"/>
  <c r="V125" i="18"/>
  <c r="V129" i="18"/>
  <c r="V133" i="18"/>
  <c r="J137" i="18"/>
  <c r="J139" i="18"/>
  <c r="J141" i="18"/>
  <c r="J145" i="18"/>
  <c r="J149" i="18"/>
  <c r="J165" i="18"/>
  <c r="V169" i="18"/>
  <c r="J173" i="18"/>
  <c r="J181" i="18"/>
  <c r="V185" i="18"/>
  <c r="V193" i="18"/>
  <c r="V205" i="18"/>
  <c r="J209" i="18"/>
  <c r="J215" i="18"/>
  <c r="V217" i="18"/>
  <c r="V221" i="18"/>
  <c r="V233" i="18"/>
  <c r="J242" i="18"/>
  <c r="F22" i="21"/>
  <c r="R34" i="21"/>
  <c r="F37" i="21"/>
  <c r="R50" i="21"/>
  <c r="R66" i="21"/>
  <c r="Z84" i="21"/>
  <c r="F99" i="21"/>
  <c r="J87" i="24"/>
  <c r="J81" i="24"/>
  <c r="J65" i="24"/>
  <c r="J47" i="24"/>
  <c r="J33" i="24"/>
  <c r="J29" i="24"/>
  <c r="J88" i="24"/>
  <c r="J56" i="24"/>
  <c r="J52" i="24"/>
  <c r="J48" i="24"/>
  <c r="J38" i="24"/>
  <c r="J75" i="24"/>
  <c r="J43" i="24"/>
  <c r="J39" i="24"/>
  <c r="J37" i="24"/>
  <c r="J35" i="24"/>
  <c r="J25" i="24"/>
  <c r="J90" i="24"/>
  <c r="J82" i="24"/>
  <c r="J76" i="24"/>
  <c r="J66" i="24"/>
  <c r="H35" i="24"/>
  <c r="J30" i="24"/>
  <c r="J26" i="24"/>
  <c r="J77" i="24"/>
  <c r="J67" i="24"/>
  <c r="J57" i="24"/>
  <c r="J53" i="24"/>
  <c r="J49" i="24"/>
  <c r="J83" i="24"/>
  <c r="J69" i="24"/>
  <c r="J59" i="24"/>
  <c r="J31" i="24"/>
  <c r="J27" i="24"/>
  <c r="J84" i="24"/>
  <c r="J78" i="24"/>
  <c r="J70" i="24"/>
  <c r="J60" i="24"/>
  <c r="J54" i="24"/>
  <c r="J50" i="24"/>
  <c r="J85" i="24"/>
  <c r="J79" i="24"/>
  <c r="J71" i="24"/>
  <c r="J61" i="24"/>
  <c r="J45" i="24"/>
  <c r="J41" i="24"/>
  <c r="P12" i="24"/>
  <c r="J28" i="24"/>
  <c r="Z37" i="24"/>
  <c r="J74" i="24"/>
  <c r="Z90" i="24"/>
  <c r="X90" i="24"/>
  <c r="R42" i="27"/>
  <c r="R93" i="27"/>
  <c r="V95" i="27"/>
  <c r="Z108" i="27"/>
  <c r="L105" i="30"/>
  <c r="N107" i="30"/>
  <c r="N121" i="30"/>
  <c r="N125" i="30"/>
  <c r="J140" i="18"/>
  <c r="V142" i="18"/>
  <c r="V146" i="18"/>
  <c r="V150" i="18"/>
  <c r="J154" i="18"/>
  <c r="J158" i="18"/>
  <c r="J164" i="18"/>
  <c r="V166" i="18"/>
  <c r="J172" i="18"/>
  <c r="V174" i="18"/>
  <c r="J180" i="18"/>
  <c r="V190" i="18"/>
  <c r="J198" i="18"/>
  <c r="V210" i="18"/>
  <c r="J214" i="18"/>
  <c r="V226" i="18"/>
  <c r="V234" i="18"/>
  <c r="J241" i="18"/>
  <c r="V246" i="18"/>
  <c r="Z50" i="21"/>
  <c r="X52" i="21"/>
  <c r="R61" i="21"/>
  <c r="F68" i="21"/>
  <c r="R82" i="21"/>
  <c r="R93" i="21"/>
  <c r="N99" i="21"/>
  <c r="L99" i="21"/>
  <c r="F108" i="21"/>
  <c r="X14" i="24"/>
  <c r="J80" i="24"/>
  <c r="V90" i="24"/>
  <c r="Z36" i="27"/>
  <c r="R46" i="27"/>
  <c r="X87" i="27"/>
  <c r="Z87" i="27" s="1"/>
  <c r="N98" i="27"/>
  <c r="L80" i="30"/>
  <c r="N80" i="30" s="1"/>
  <c r="N113" i="30"/>
  <c r="J95" i="18"/>
  <c r="J99" i="18"/>
  <c r="J103" i="18"/>
  <c r="J107" i="18"/>
  <c r="J111" i="18"/>
  <c r="J115" i="18"/>
  <c r="J119" i="18"/>
  <c r="J123" i="18"/>
  <c r="J127" i="18"/>
  <c r="J131" i="18"/>
  <c r="J135" i="18"/>
  <c r="V151" i="18"/>
  <c r="V155" i="18"/>
  <c r="V159" i="18"/>
  <c r="J163" i="18"/>
  <c r="V167" i="18"/>
  <c r="J171" i="18"/>
  <c r="V175" i="18"/>
  <c r="J179" i="18"/>
  <c r="V183" i="18"/>
  <c r="J187" i="18"/>
  <c r="V191" i="18"/>
  <c r="J197" i="18"/>
  <c r="V199" i="18"/>
  <c r="J203" i="18"/>
  <c r="J219" i="18"/>
  <c r="J223" i="18"/>
  <c r="J231" i="18"/>
  <c r="J240" i="18"/>
  <c r="R58" i="21"/>
  <c r="Z61" i="21"/>
  <c r="X61" i="21"/>
  <c r="F65" i="21"/>
  <c r="R71" i="21"/>
  <c r="R102" i="21"/>
  <c r="R50" i="27"/>
  <c r="R85" i="27"/>
  <c r="R100" i="27"/>
  <c r="H171" i="30"/>
  <c r="N105" i="30"/>
  <c r="T127" i="36"/>
  <c r="V27" i="36"/>
  <c r="V92" i="18"/>
  <c r="V96" i="18"/>
  <c r="V100" i="18"/>
  <c r="V104" i="18"/>
  <c r="V108" i="18"/>
  <c r="V112" i="18"/>
  <c r="V116" i="18"/>
  <c r="V120" i="18"/>
  <c r="V124" i="18"/>
  <c r="V128" i="18"/>
  <c r="V132" i="18"/>
  <c r="J144" i="18"/>
  <c r="J148" i="18"/>
  <c r="J162" i="18"/>
  <c r="J178" i="18"/>
  <c r="V188" i="18"/>
  <c r="J196" i="18"/>
  <c r="J202" i="18"/>
  <c r="V204" i="18"/>
  <c r="J208" i="18"/>
  <c r="V216" i="18"/>
  <c r="V220" i="18"/>
  <c r="V224" i="18"/>
  <c r="J230" i="18"/>
  <c r="V232" i="18"/>
  <c r="J239" i="18"/>
  <c r="H24" i="21"/>
  <c r="N19" i="21"/>
  <c r="L19" i="21"/>
  <c r="R30" i="21"/>
  <c r="J32" i="24"/>
  <c r="J40" i="24"/>
  <c r="J42" i="24"/>
  <c r="J58" i="24"/>
  <c r="R63" i="27"/>
  <c r="Z83" i="27"/>
  <c r="Z98" i="27"/>
  <c r="L105" i="27"/>
  <c r="N105" i="27" s="1"/>
  <c r="R107" i="27"/>
  <c r="N111" i="30"/>
  <c r="Z113" i="30"/>
  <c r="X119" i="30"/>
  <c r="V141" i="18"/>
  <c r="V145" i="18"/>
  <c r="V149" i="18"/>
  <c r="J153" i="18"/>
  <c r="J157" i="18"/>
  <c r="J161" i="18"/>
  <c r="V165" i="18"/>
  <c r="V173" i="18"/>
  <c r="J177" i="18"/>
  <c r="V181" i="18"/>
  <c r="V189" i="18"/>
  <c r="J195" i="18"/>
  <c r="J201" i="18"/>
  <c r="J207" i="18"/>
  <c r="V209" i="18"/>
  <c r="J213" i="18"/>
  <c r="J229" i="18"/>
  <c r="J237" i="18"/>
  <c r="L12" i="21"/>
  <c r="N12" i="21" s="1"/>
  <c r="J19" i="21"/>
  <c r="R60" i="21"/>
  <c r="R89" i="21"/>
  <c r="F98" i="21"/>
  <c r="R99" i="21"/>
  <c r="D12" i="24"/>
  <c r="L13" i="24"/>
  <c r="N67" i="24"/>
  <c r="L71" i="24"/>
  <c r="R59" i="27"/>
  <c r="Z67" i="27"/>
  <c r="N90" i="27"/>
  <c r="J105" i="27"/>
  <c r="Z101" i="30"/>
  <c r="Z105" i="30"/>
  <c r="Z107" i="30"/>
  <c r="X111" i="30"/>
  <c r="Z111" i="30" s="1"/>
  <c r="N62" i="36"/>
  <c r="L62" i="36"/>
  <c r="L125" i="36"/>
  <c r="D121" i="36"/>
  <c r="L121" i="36" s="1"/>
  <c r="N121" i="36" s="1"/>
  <c r="J38" i="21"/>
  <c r="J42" i="21"/>
  <c r="J46" i="21"/>
  <c r="J66" i="21"/>
  <c r="J74" i="21"/>
  <c r="J98" i="21"/>
  <c r="V35" i="24"/>
  <c r="V37" i="24"/>
  <c r="V65" i="24"/>
  <c r="V81" i="24"/>
  <c r="J40" i="27"/>
  <c r="J44" i="27"/>
  <c r="J48" i="27"/>
  <c r="H53" i="27"/>
  <c r="V68" i="27"/>
  <c r="V72" i="27"/>
  <c r="V76" i="27"/>
  <c r="V84" i="27"/>
  <c r="J90" i="27"/>
  <c r="V92" i="27"/>
  <c r="J98" i="27"/>
  <c r="V100" i="27"/>
  <c r="J104" i="27"/>
  <c r="V108" i="27"/>
  <c r="J115" i="27"/>
  <c r="V120" i="27"/>
  <c r="J55" i="30"/>
  <c r="J59" i="30"/>
  <c r="J63" i="30"/>
  <c r="J67" i="30"/>
  <c r="J71" i="30"/>
  <c r="J75" i="30"/>
  <c r="J105" i="30"/>
  <c r="J115" i="30"/>
  <c r="J125" i="30"/>
  <c r="J155" i="30"/>
  <c r="N56" i="33"/>
  <c r="Z41" i="36"/>
  <c r="V41" i="36"/>
  <c r="N97" i="36"/>
  <c r="J37" i="21"/>
  <c r="J55" i="21"/>
  <c r="J65" i="21"/>
  <c r="J87" i="21"/>
  <c r="J91" i="21"/>
  <c r="J97" i="21"/>
  <c r="V38" i="24"/>
  <c r="V42" i="24"/>
  <c r="V46" i="24"/>
  <c r="V74" i="24"/>
  <c r="V86" i="24"/>
  <c r="V37" i="27"/>
  <c r="V41" i="27"/>
  <c r="V45" i="27"/>
  <c r="V49" i="27"/>
  <c r="J53" i="27"/>
  <c r="J55" i="27"/>
  <c r="J57" i="27"/>
  <c r="J61" i="27"/>
  <c r="J65" i="27"/>
  <c r="J81" i="27"/>
  <c r="V85" i="27"/>
  <c r="J89" i="27"/>
  <c r="V93" i="27"/>
  <c r="J97" i="27"/>
  <c r="V101" i="27"/>
  <c r="J113" i="27"/>
  <c r="J114" i="27"/>
  <c r="J84" i="30"/>
  <c r="J88" i="30"/>
  <c r="J104" i="30"/>
  <c r="J124" i="30"/>
  <c r="J132" i="30"/>
  <c r="J144" i="30"/>
  <c r="J148" i="30"/>
  <c r="J154" i="30"/>
  <c r="J164" i="30"/>
  <c r="J169" i="30"/>
  <c r="N30" i="33"/>
  <c r="N54" i="33"/>
  <c r="N60" i="33"/>
  <c r="L68" i="33"/>
  <c r="N68" i="33" s="1"/>
  <c r="N74" i="33"/>
  <c r="J29" i="36"/>
  <c r="X97" i="36"/>
  <c r="X13" i="21"/>
  <c r="Z13" i="21" s="1"/>
  <c r="J26" i="21"/>
  <c r="J28" i="21"/>
  <c r="J32" i="21"/>
  <c r="J36" i="21"/>
  <c r="J54" i="21"/>
  <c r="J64" i="21"/>
  <c r="J80" i="21"/>
  <c r="J86" i="21"/>
  <c r="J96" i="21"/>
  <c r="V47" i="24"/>
  <c r="V51" i="24"/>
  <c r="V55" i="24"/>
  <c r="V63" i="24"/>
  <c r="V87" i="24"/>
  <c r="X13" i="27"/>
  <c r="Z13" i="27" s="1"/>
  <c r="J56" i="27"/>
  <c r="V58" i="27"/>
  <c r="V62" i="27"/>
  <c r="V66" i="27"/>
  <c r="J70" i="27"/>
  <c r="J74" i="27"/>
  <c r="J80" i="27"/>
  <c r="V82" i="27"/>
  <c r="V106" i="27"/>
  <c r="J93" i="30"/>
  <c r="J97" i="30"/>
  <c r="J103" i="30"/>
  <c r="J123" i="30"/>
  <c r="J131" i="30"/>
  <c r="J137" i="30"/>
  <c r="J153" i="30"/>
  <c r="L164" i="30"/>
  <c r="Z52" i="33"/>
  <c r="Z56" i="33"/>
  <c r="J74" i="33"/>
  <c r="L29" i="36"/>
  <c r="N29" i="36" s="1"/>
  <c r="Z64" i="36"/>
  <c r="Z121" i="36"/>
  <c r="L69" i="39"/>
  <c r="N69" i="39"/>
  <c r="N38" i="42"/>
  <c r="J130" i="30"/>
  <c r="J159" i="30"/>
  <c r="L74" i="36"/>
  <c r="N74" i="36" s="1"/>
  <c r="Z97" i="36"/>
  <c r="H127" i="36"/>
  <c r="J52" i="21"/>
  <c r="J62" i="21"/>
  <c r="J78" i="21"/>
  <c r="J84" i="21"/>
  <c r="J90" i="21"/>
  <c r="J108" i="21"/>
  <c r="V45" i="24"/>
  <c r="V61" i="24"/>
  <c r="V73" i="24"/>
  <c r="V85" i="24"/>
  <c r="V36" i="27"/>
  <c r="V40" i="27"/>
  <c r="V44" i="27"/>
  <c r="V48" i="27"/>
  <c r="J60" i="27"/>
  <c r="J64" i="27"/>
  <c r="J78" i="27"/>
  <c r="X83" i="27"/>
  <c r="J88" i="27"/>
  <c r="J96" i="27"/>
  <c r="V104" i="27"/>
  <c r="J110" i="27"/>
  <c r="P113" i="27"/>
  <c r="X113" i="27" s="1"/>
  <c r="Z113" i="27" s="1"/>
  <c r="V116" i="27"/>
  <c r="L13" i="30"/>
  <c r="N13" i="30" s="1"/>
  <c r="J83" i="30"/>
  <c r="J87" i="30"/>
  <c r="J101" i="30"/>
  <c r="J113" i="30"/>
  <c r="J121" i="30"/>
  <c r="J143" i="30"/>
  <c r="J147" i="30"/>
  <c r="Z54" i="33"/>
  <c r="X56" i="33"/>
  <c r="N79" i="33"/>
  <c r="Z29" i="36"/>
  <c r="L54" i="36"/>
  <c r="N54" i="36" s="1"/>
  <c r="Z68" i="36"/>
  <c r="X68" i="36"/>
  <c r="J74" i="36"/>
  <c r="N114" i="36"/>
  <c r="H124" i="39"/>
  <c r="N27" i="42"/>
  <c r="J31" i="21"/>
  <c r="J35" i="21"/>
  <c r="J51" i="21"/>
  <c r="J61" i="21"/>
  <c r="J83" i="21"/>
  <c r="J95" i="21"/>
  <c r="V50" i="24"/>
  <c r="V54" i="24"/>
  <c r="V62" i="24"/>
  <c r="V70" i="24"/>
  <c r="V78" i="24"/>
  <c r="V57" i="27"/>
  <c r="V61" i="27"/>
  <c r="V65" i="27"/>
  <c r="J69" i="27"/>
  <c r="J73" i="27"/>
  <c r="J77" i="27"/>
  <c r="V81" i="27"/>
  <c r="J87" i="27"/>
  <c r="V89" i="27"/>
  <c r="J95" i="27"/>
  <c r="V97" i="27"/>
  <c r="V105" i="27"/>
  <c r="J109" i="27"/>
  <c r="V115" i="27"/>
  <c r="J92" i="30"/>
  <c r="J96" i="30"/>
  <c r="J100" i="30"/>
  <c r="J112" i="30"/>
  <c r="J120" i="30"/>
  <c r="J136" i="30"/>
  <c r="J142" i="30"/>
  <c r="J152" i="30"/>
  <c r="X159" i="30"/>
  <c r="Z159" i="30" s="1"/>
  <c r="J163" i="30"/>
  <c r="Z68" i="33"/>
  <c r="Z74" i="33"/>
  <c r="J54" i="36"/>
  <c r="V68" i="36"/>
  <c r="Z56" i="39"/>
  <c r="Z68" i="45"/>
  <c r="J40" i="21"/>
  <c r="J44" i="21"/>
  <c r="J50" i="21"/>
  <c r="J60" i="21"/>
  <c r="J72" i="21"/>
  <c r="J94" i="21"/>
  <c r="J104" i="21"/>
  <c r="V59" i="24"/>
  <c r="V71" i="24"/>
  <c r="V79" i="24"/>
  <c r="V83" i="24"/>
  <c r="J38" i="27"/>
  <c r="J42" i="27"/>
  <c r="J46" i="27"/>
  <c r="J50" i="27"/>
  <c r="T53" i="27"/>
  <c r="V70" i="27"/>
  <c r="V74" i="27"/>
  <c r="J86" i="27"/>
  <c r="V90" i="27"/>
  <c r="J94" i="27"/>
  <c r="V98" i="27"/>
  <c r="J102" i="27"/>
  <c r="J108" i="27"/>
  <c r="V114" i="27"/>
  <c r="J53" i="30"/>
  <c r="J57" i="30"/>
  <c r="J61" i="30"/>
  <c r="J65" i="30"/>
  <c r="J69" i="30"/>
  <c r="J73" i="30"/>
  <c r="J111" i="30"/>
  <c r="J119" i="30"/>
  <c r="J129" i="30"/>
  <c r="J135" i="30"/>
  <c r="J141" i="30"/>
  <c r="N162" i="30"/>
  <c r="X80" i="36"/>
  <c r="Z80" i="36" s="1"/>
  <c r="L94" i="36"/>
  <c r="N94" i="36" s="1"/>
  <c r="Z58" i="39"/>
  <c r="X58" i="39"/>
  <c r="V58" i="39"/>
  <c r="J49" i="21"/>
  <c r="J59" i="21"/>
  <c r="J71" i="21"/>
  <c r="J77" i="21"/>
  <c r="J89" i="21"/>
  <c r="J93" i="21"/>
  <c r="V40" i="24"/>
  <c r="V44" i="24"/>
  <c r="V60" i="24"/>
  <c r="V68" i="24"/>
  <c r="V84" i="24"/>
  <c r="V94" i="24"/>
  <c r="V39" i="27"/>
  <c r="V43" i="27"/>
  <c r="V47" i="27"/>
  <c r="V51" i="27"/>
  <c r="V53" i="27"/>
  <c r="V55" i="27"/>
  <c r="J59" i="27"/>
  <c r="J63" i="27"/>
  <c r="V79" i="27"/>
  <c r="J85" i="27"/>
  <c r="J93" i="27"/>
  <c r="J101" i="27"/>
  <c r="V103" i="27"/>
  <c r="J107" i="27"/>
  <c r="V111" i="27"/>
  <c r="V113" i="27"/>
  <c r="J165" i="30"/>
  <c r="J158" i="30"/>
  <c r="J160" i="30"/>
  <c r="J52" i="30"/>
  <c r="J82" i="30"/>
  <c r="J86" i="30"/>
  <c r="J110" i="30"/>
  <c r="J118" i="30"/>
  <c r="J134" i="30"/>
  <c r="J146" i="30"/>
  <c r="J150" i="30"/>
  <c r="J162" i="30"/>
  <c r="J167" i="30"/>
  <c r="J171" i="30"/>
  <c r="P12" i="33"/>
  <c r="X13" i="33"/>
  <c r="Z13" i="33" s="1"/>
  <c r="Z79" i="33"/>
  <c r="X79" i="33"/>
  <c r="V80" i="36"/>
  <c r="X85" i="36"/>
  <c r="J94" i="36"/>
  <c r="X112" i="36"/>
  <c r="Z112" i="36" s="1"/>
  <c r="J30" i="21"/>
  <c r="J34" i="21"/>
  <c r="J48" i="21"/>
  <c r="J58" i="21"/>
  <c r="J70" i="21"/>
  <c r="J76" i="21"/>
  <c r="J82" i="21"/>
  <c r="V49" i="24"/>
  <c r="V53" i="24"/>
  <c r="V57" i="24"/>
  <c r="V69" i="24"/>
  <c r="V56" i="27"/>
  <c r="V60" i="27"/>
  <c r="V64" i="27"/>
  <c r="J68" i="27"/>
  <c r="J72" i="27"/>
  <c r="J76" i="27"/>
  <c r="V80" i="27"/>
  <c r="J84" i="27"/>
  <c r="V88" i="27"/>
  <c r="J92" i="27"/>
  <c r="J100" i="27"/>
  <c r="J91" i="30"/>
  <c r="J95" i="30"/>
  <c r="J99" i="30"/>
  <c r="J109" i="30"/>
  <c r="V79" i="33"/>
  <c r="D12" i="36"/>
  <c r="J27" i="36"/>
  <c r="N30" i="36"/>
  <c r="L30" i="36"/>
  <c r="Z76" i="36"/>
  <c r="V112" i="36"/>
  <c r="R117" i="42"/>
  <c r="R85" i="42"/>
  <c r="R118" i="42"/>
  <c r="R108" i="42"/>
  <c r="R100" i="42"/>
  <c r="R96" i="42"/>
  <c r="R92" i="42"/>
  <c r="R81" i="42"/>
  <c r="R80" i="42"/>
  <c r="R109" i="42"/>
  <c r="R102" i="42"/>
  <c r="R101" i="42"/>
  <c r="R97" i="42"/>
  <c r="R93" i="42"/>
  <c r="R122" i="42"/>
  <c r="R111" i="42"/>
  <c r="R110" i="42"/>
  <c r="R98" i="42"/>
  <c r="R94" i="42"/>
  <c r="R90" i="42"/>
  <c r="R89" i="42"/>
  <c r="R28" i="42"/>
  <c r="R23" i="42"/>
  <c r="R106" i="42"/>
  <c r="R79" i="42"/>
  <c r="R74" i="42"/>
  <c r="R63" i="42"/>
  <c r="R62" i="42"/>
  <c r="R55" i="42"/>
  <c r="R54" i="42"/>
  <c r="R46" i="42"/>
  <c r="R42" i="42"/>
  <c r="R27" i="42"/>
  <c r="R99" i="42"/>
  <c r="R88" i="42"/>
  <c r="R38" i="42"/>
  <c r="R37" i="42"/>
  <c r="R33" i="42"/>
  <c r="R29" i="42"/>
  <c r="P25" i="42"/>
  <c r="R115" i="42"/>
  <c r="R107" i="42"/>
  <c r="R91" i="42"/>
  <c r="R65" i="42"/>
  <c r="R64" i="42"/>
  <c r="R56" i="42"/>
  <c r="R95" i="42"/>
  <c r="R83" i="42"/>
  <c r="R75" i="42"/>
  <c r="R47" i="42"/>
  <c r="R43" i="42"/>
  <c r="R39" i="42"/>
  <c r="R20" i="42"/>
  <c r="R112" i="42"/>
  <c r="R104" i="42"/>
  <c r="R67" i="42"/>
  <c r="R66" i="42"/>
  <c r="R34" i="42"/>
  <c r="R30" i="42"/>
  <c r="R57" i="42"/>
  <c r="R21" i="42"/>
  <c r="R76" i="42"/>
  <c r="R69" i="42"/>
  <c r="R68" i="42"/>
  <c r="R49" i="42"/>
  <c r="R48" i="42"/>
  <c r="R44" i="42"/>
  <c r="R40" i="42"/>
  <c r="X12" i="42"/>
  <c r="Z12" i="42" s="1"/>
  <c r="R86" i="42"/>
  <c r="R35" i="42"/>
  <c r="R31" i="42"/>
  <c r="R103" i="42"/>
  <c r="R82" i="42"/>
  <c r="R78" i="42"/>
  <c r="R73" i="42"/>
  <c r="R72" i="42"/>
  <c r="R61" i="42"/>
  <c r="R60" i="42"/>
  <c r="R53" i="42"/>
  <c r="R52" i="42"/>
  <c r="R36" i="42"/>
  <c r="R32" i="42"/>
  <c r="R87" i="42"/>
  <c r="R51" i="42"/>
  <c r="R41" i="42"/>
  <c r="R59" i="42"/>
  <c r="R45" i="42"/>
  <c r="R71" i="42"/>
  <c r="R116" i="42"/>
  <c r="R84" i="42"/>
  <c r="R105" i="42"/>
  <c r="R50" i="42"/>
  <c r="R22" i="42"/>
  <c r="R70" i="42"/>
  <c r="X54" i="39"/>
  <c r="Z54" i="39" s="1"/>
  <c r="Z94" i="39"/>
  <c r="X94" i="39"/>
  <c r="Z91" i="45"/>
  <c r="V34" i="33"/>
  <c r="V38" i="33"/>
  <c r="J42" i="33"/>
  <c r="J46" i="33"/>
  <c r="J50" i="33"/>
  <c r="V54" i="33"/>
  <c r="J60" i="33"/>
  <c r="V62" i="33"/>
  <c r="J68" i="33"/>
  <c r="V70" i="33"/>
  <c r="J25" i="36"/>
  <c r="V45" i="36"/>
  <c r="V49" i="36"/>
  <c r="J53" i="36"/>
  <c r="V57" i="36"/>
  <c r="J61" i="36"/>
  <c r="V65" i="36"/>
  <c r="J73" i="36"/>
  <c r="V77" i="36"/>
  <c r="V85" i="36"/>
  <c r="J89" i="36"/>
  <c r="J93" i="36"/>
  <c r="V97" i="36"/>
  <c r="V101" i="36"/>
  <c r="V105" i="36"/>
  <c r="V117" i="36"/>
  <c r="J127" i="36"/>
  <c r="T124" i="39"/>
  <c r="V124" i="39" s="1"/>
  <c r="N31" i="39"/>
  <c r="N82" i="39"/>
  <c r="Z106" i="39"/>
  <c r="H25" i="42"/>
  <c r="L20" i="42"/>
  <c r="N20" i="42" s="1"/>
  <c r="J20" i="42"/>
  <c r="H28" i="33"/>
  <c r="J41" i="33"/>
  <c r="V47" i="33"/>
  <c r="V51" i="33"/>
  <c r="J59" i="33"/>
  <c r="V63" i="33"/>
  <c r="J67" i="33"/>
  <c r="V75" i="33"/>
  <c r="J34" i="36"/>
  <c r="J38" i="36"/>
  <c r="J52" i="36"/>
  <c r="V58" i="36"/>
  <c r="V66" i="36"/>
  <c r="J72" i="36"/>
  <c r="V78" i="36"/>
  <c r="J82" i="36"/>
  <c r="J88" i="36"/>
  <c r="V90" i="36"/>
  <c r="V110" i="36"/>
  <c r="V118" i="36"/>
  <c r="J125" i="36"/>
  <c r="N37" i="45"/>
  <c r="J26" i="33"/>
  <c r="J28" i="33"/>
  <c r="J30" i="33"/>
  <c r="J32" i="33"/>
  <c r="J36" i="33"/>
  <c r="J40" i="33"/>
  <c r="V52" i="33"/>
  <c r="J58" i="33"/>
  <c r="J66" i="33"/>
  <c r="J72" i="33"/>
  <c r="V76" i="33"/>
  <c r="J84" i="33"/>
  <c r="V39" i="36"/>
  <c r="J43" i="36"/>
  <c r="J47" i="36"/>
  <c r="J51" i="36"/>
  <c r="V55" i="36"/>
  <c r="V63" i="36"/>
  <c r="J71" i="36"/>
  <c r="V75" i="36"/>
  <c r="V83" i="36"/>
  <c r="J87" i="36"/>
  <c r="V95" i="36"/>
  <c r="J99" i="36"/>
  <c r="J103" i="36"/>
  <c r="J107" i="36"/>
  <c r="J115" i="36"/>
  <c r="J124" i="36"/>
  <c r="V129" i="36"/>
  <c r="D12" i="39"/>
  <c r="F89" i="42"/>
  <c r="F112" i="42"/>
  <c r="F111" i="42"/>
  <c r="F104" i="42"/>
  <c r="F84" i="42"/>
  <c r="F115" i="42"/>
  <c r="F106" i="42"/>
  <c r="F105" i="42"/>
  <c r="F116" i="42"/>
  <c r="F114" i="42"/>
  <c r="F85" i="42"/>
  <c r="F117" i="42"/>
  <c r="F86" i="42"/>
  <c r="F82" i="42"/>
  <c r="F81" i="42"/>
  <c r="F109" i="42"/>
  <c r="F101" i="42"/>
  <c r="F97" i="42"/>
  <c r="F93" i="42"/>
  <c r="F110" i="42"/>
  <c r="F96" i="42"/>
  <c r="F35" i="42"/>
  <c r="F31" i="42"/>
  <c r="F98" i="42"/>
  <c r="F94" i="42"/>
  <c r="F70" i="42"/>
  <c r="F69" i="42"/>
  <c r="F58" i="42"/>
  <c r="F50" i="42"/>
  <c r="F49" i="42"/>
  <c r="F22" i="42"/>
  <c r="F87" i="42"/>
  <c r="F77" i="42"/>
  <c r="F45" i="42"/>
  <c r="F41" i="42"/>
  <c r="F103" i="42"/>
  <c r="F90" i="42"/>
  <c r="F72" i="42"/>
  <c r="F71" i="42"/>
  <c r="F60" i="42"/>
  <c r="F59" i="42"/>
  <c r="F52" i="42"/>
  <c r="F51" i="42"/>
  <c r="F36" i="42"/>
  <c r="F32" i="42"/>
  <c r="F23" i="42"/>
  <c r="F99" i="42"/>
  <c r="F88" i="42"/>
  <c r="F79" i="42"/>
  <c r="F78" i="42"/>
  <c r="F74" i="42"/>
  <c r="F73" i="42"/>
  <c r="F62" i="42"/>
  <c r="F61" i="42"/>
  <c r="F54" i="42"/>
  <c r="F53" i="42"/>
  <c r="F46" i="42"/>
  <c r="F42" i="42"/>
  <c r="F91" i="42"/>
  <c r="F37" i="42"/>
  <c r="F33" i="42"/>
  <c r="F29" i="42"/>
  <c r="F28" i="42"/>
  <c r="F107" i="42"/>
  <c r="F95" i="42"/>
  <c r="F83" i="42"/>
  <c r="F64" i="42"/>
  <c r="F63" i="42"/>
  <c r="F56" i="42"/>
  <c r="F55" i="42"/>
  <c r="F27" i="42"/>
  <c r="F80" i="42"/>
  <c r="F75" i="42"/>
  <c r="F47" i="42"/>
  <c r="F43" i="42"/>
  <c r="F39" i="42"/>
  <c r="F38" i="42"/>
  <c r="D25" i="42"/>
  <c r="F25" i="42" s="1"/>
  <c r="F108" i="42"/>
  <c r="F92" i="42"/>
  <c r="F76" i="42"/>
  <c r="F68" i="42"/>
  <c r="F67" i="42"/>
  <c r="F48" i="42"/>
  <c r="F44" i="42"/>
  <c r="F40" i="42"/>
  <c r="L12" i="42"/>
  <c r="N12" i="42" s="1"/>
  <c r="F34" i="42"/>
  <c r="J114" i="36"/>
  <c r="J123" i="36"/>
  <c r="X82" i="39"/>
  <c r="Z82" i="39" s="1"/>
  <c r="N118" i="39"/>
  <c r="N67" i="42"/>
  <c r="L67" i="42"/>
  <c r="X73" i="42"/>
  <c r="Z73" i="42" s="1"/>
  <c r="F122" i="42"/>
  <c r="V42" i="33"/>
  <c r="V46" i="33"/>
  <c r="V50" i="33"/>
  <c r="J56" i="33"/>
  <c r="V74" i="33"/>
  <c r="P12" i="36"/>
  <c r="V29" i="36"/>
  <c r="J33" i="36"/>
  <c r="J37" i="36"/>
  <c r="V53" i="36"/>
  <c r="X56" i="36"/>
  <c r="Z56" i="36" s="1"/>
  <c r="V61" i="36"/>
  <c r="J69" i="36"/>
  <c r="V73" i="36"/>
  <c r="J81" i="36"/>
  <c r="V89" i="36"/>
  <c r="V93" i="36"/>
  <c r="V109" i="36"/>
  <c r="J113" i="36"/>
  <c r="J121" i="36"/>
  <c r="J122" i="36"/>
  <c r="N30" i="39"/>
  <c r="V82" i="39"/>
  <c r="N53" i="42"/>
  <c r="N65" i="42"/>
  <c r="J67" i="42"/>
  <c r="V73" i="42"/>
  <c r="Z62" i="45"/>
  <c r="V62" i="45"/>
  <c r="J35" i="33"/>
  <c r="J39" i="33"/>
  <c r="J55" i="33"/>
  <c r="V59" i="33"/>
  <c r="V67" i="33"/>
  <c r="J71" i="33"/>
  <c r="J79" i="33"/>
  <c r="J80" i="33"/>
  <c r="V30" i="36"/>
  <c r="V34" i="36"/>
  <c r="V38" i="36"/>
  <c r="J42" i="36"/>
  <c r="J46" i="36"/>
  <c r="J50" i="36"/>
  <c r="V54" i="36"/>
  <c r="V62" i="36"/>
  <c r="J68" i="36"/>
  <c r="V74" i="36"/>
  <c r="J80" i="36"/>
  <c r="V82" i="36"/>
  <c r="J86" i="36"/>
  <c r="V94" i="36"/>
  <c r="J98" i="36"/>
  <c r="J102" i="36"/>
  <c r="J106" i="36"/>
  <c r="J112" i="36"/>
  <c r="P12" i="39"/>
  <c r="V31" i="39"/>
  <c r="N52" i="39"/>
  <c r="L52" i="39"/>
  <c r="N64" i="39"/>
  <c r="N75" i="39"/>
  <c r="N85" i="39"/>
  <c r="F21" i="42"/>
  <c r="X61" i="42"/>
  <c r="Z61" i="42" s="1"/>
  <c r="Z71" i="42"/>
  <c r="F102" i="42"/>
  <c r="X60" i="45"/>
  <c r="Z60" i="45" s="1"/>
  <c r="R60" i="45"/>
  <c r="F78" i="45"/>
  <c r="J44" i="33"/>
  <c r="J48" i="33"/>
  <c r="J54" i="33"/>
  <c r="V60" i="33"/>
  <c r="J64" i="33"/>
  <c r="V68" i="33"/>
  <c r="V72" i="33"/>
  <c r="V84" i="33"/>
  <c r="J23" i="36"/>
  <c r="J41" i="36"/>
  <c r="J59" i="36"/>
  <c r="J67" i="36"/>
  <c r="V71" i="36"/>
  <c r="J79" i="36"/>
  <c r="J85" i="36"/>
  <c r="V87" i="36"/>
  <c r="J91" i="36"/>
  <c r="J97" i="36"/>
  <c r="V99" i="36"/>
  <c r="V103" i="36"/>
  <c r="V107" i="36"/>
  <c r="J111" i="36"/>
  <c r="V115" i="36"/>
  <c r="J119" i="36"/>
  <c r="V125" i="36"/>
  <c r="V127" i="36"/>
  <c r="F30" i="42"/>
  <c r="X53" i="42"/>
  <c r="Z53" i="42" s="1"/>
  <c r="N102" i="42"/>
  <c r="V41" i="33"/>
  <c r="V45" i="33"/>
  <c r="V49" i="33"/>
  <c r="J53" i="33"/>
  <c r="V57" i="33"/>
  <c r="J63" i="33"/>
  <c r="V65" i="33"/>
  <c r="J77" i="33"/>
  <c r="J22" i="36"/>
  <c r="J32" i="36"/>
  <c r="J36" i="36"/>
  <c r="J40" i="36"/>
  <c r="V52" i="36"/>
  <c r="J58" i="36"/>
  <c r="V60" i="36"/>
  <c r="J66" i="36"/>
  <c r="V72" i="36"/>
  <c r="J78" i="36"/>
  <c r="J84" i="36"/>
  <c r="V88" i="36"/>
  <c r="V92" i="36"/>
  <c r="J96" i="36"/>
  <c r="J118" i="36"/>
  <c r="V124" i="36"/>
  <c r="Z30" i="39"/>
  <c r="N56" i="39"/>
  <c r="Z85" i="39"/>
  <c r="N94" i="39"/>
  <c r="V53" i="42"/>
  <c r="F100" i="42"/>
  <c r="N52" i="45"/>
  <c r="J56" i="45"/>
  <c r="V26" i="33"/>
  <c r="V28" i="33"/>
  <c r="V30" i="33"/>
  <c r="J34" i="33"/>
  <c r="J38" i="33"/>
  <c r="J52" i="33"/>
  <c r="V58" i="33"/>
  <c r="J62" i="33"/>
  <c r="J70" i="33"/>
  <c r="V33" i="36"/>
  <c r="V37" i="36"/>
  <c r="J45" i="36"/>
  <c r="J49" i="36"/>
  <c r="J57" i="36"/>
  <c r="J65" i="36"/>
  <c r="V69" i="36"/>
  <c r="J77" i="36"/>
  <c r="V81" i="36"/>
  <c r="J101" i="36"/>
  <c r="J105" i="36"/>
  <c r="V113" i="36"/>
  <c r="J117" i="36"/>
  <c r="V30" i="39"/>
  <c r="Z52" i="39"/>
  <c r="N58" i="39"/>
  <c r="Z62" i="39"/>
  <c r="Z64" i="39"/>
  <c r="Z66" i="39"/>
  <c r="X66" i="39"/>
  <c r="D118" i="39"/>
  <c r="L118" i="39" s="1"/>
  <c r="Z49" i="42"/>
  <c r="Z51" i="42"/>
  <c r="F66" i="42"/>
  <c r="Z87" i="42"/>
  <c r="X111" i="42"/>
  <c r="Z111" i="42" s="1"/>
  <c r="N50" i="45"/>
  <c r="L96" i="45"/>
  <c r="N96" i="45" s="1"/>
  <c r="V32" i="39"/>
  <c r="V36" i="39"/>
  <c r="V40" i="39"/>
  <c r="J44" i="39"/>
  <c r="J48" i="39"/>
  <c r="J54" i="39"/>
  <c r="J62" i="39"/>
  <c r="J72" i="39"/>
  <c r="V76" i="39"/>
  <c r="J80" i="39"/>
  <c r="V88" i="39"/>
  <c r="J92" i="39"/>
  <c r="J106" i="39"/>
  <c r="V108" i="39"/>
  <c r="V116" i="39"/>
  <c r="V118" i="39"/>
  <c r="J126" i="39"/>
  <c r="V23" i="42"/>
  <c r="V27" i="42"/>
  <c r="J31" i="42"/>
  <c r="J35" i="42"/>
  <c r="J49" i="42"/>
  <c r="V55" i="42"/>
  <c r="J69" i="42"/>
  <c r="J81" i="42"/>
  <c r="J86" i="42"/>
  <c r="L102" i="42"/>
  <c r="J110" i="42"/>
  <c r="P114" i="42"/>
  <c r="X114" i="42" s="1"/>
  <c r="Z114" i="42" s="1"/>
  <c r="R92" i="45"/>
  <c r="R76" i="45"/>
  <c r="R44" i="45"/>
  <c r="R40" i="45"/>
  <c r="R25" i="45"/>
  <c r="R87" i="45"/>
  <c r="R83" i="45"/>
  <c r="R71" i="45"/>
  <c r="R64" i="45"/>
  <c r="R63" i="45"/>
  <c r="R52" i="45"/>
  <c r="R51" i="45"/>
  <c r="R35" i="45"/>
  <c r="R31" i="45"/>
  <c r="R27" i="45"/>
  <c r="P23" i="45"/>
  <c r="R94" i="45"/>
  <c r="R93" i="45"/>
  <c r="R78" i="45"/>
  <c r="R77" i="45"/>
  <c r="R66" i="45"/>
  <c r="R65" i="45"/>
  <c r="R54" i="45"/>
  <c r="R53" i="45"/>
  <c r="R45" i="45"/>
  <c r="R41" i="45"/>
  <c r="R18" i="45"/>
  <c r="R88" i="45"/>
  <c r="R84" i="45"/>
  <c r="R73" i="45"/>
  <c r="R72" i="45"/>
  <c r="R37" i="45"/>
  <c r="R36" i="45"/>
  <c r="R32" i="45"/>
  <c r="R28" i="45"/>
  <c r="X12" i="45"/>
  <c r="R96" i="45"/>
  <c r="R95" i="45"/>
  <c r="R80" i="45"/>
  <c r="R79" i="45"/>
  <c r="R68" i="45"/>
  <c r="R67" i="45"/>
  <c r="R56" i="45"/>
  <c r="R55" i="45"/>
  <c r="R19" i="45"/>
  <c r="R74" i="45"/>
  <c r="R46" i="45"/>
  <c r="R42" i="45"/>
  <c r="R38" i="45"/>
  <c r="R97" i="45"/>
  <c r="R89" i="45"/>
  <c r="R85" i="45"/>
  <c r="R81" i="45"/>
  <c r="R69" i="45"/>
  <c r="R58" i="45"/>
  <c r="R57" i="45"/>
  <c r="R33" i="45"/>
  <c r="R29" i="45"/>
  <c r="R99" i="45"/>
  <c r="R20" i="45"/>
  <c r="R103" i="45"/>
  <c r="R62" i="45"/>
  <c r="R61" i="45"/>
  <c r="R50" i="45"/>
  <c r="R49" i="45"/>
  <c r="R26" i="45"/>
  <c r="R21" i="45"/>
  <c r="Z25" i="45"/>
  <c r="F37" i="45"/>
  <c r="L56" i="45"/>
  <c r="N56" i="45" s="1"/>
  <c r="J68" i="45"/>
  <c r="F73" i="45"/>
  <c r="R75" i="45"/>
  <c r="R91" i="45"/>
  <c r="R66" i="48"/>
  <c r="R69" i="48"/>
  <c r="R68" i="48"/>
  <c r="R42" i="48"/>
  <c r="R41" i="48"/>
  <c r="R37" i="48"/>
  <c r="R33" i="48"/>
  <c r="R60" i="48"/>
  <c r="R53" i="48"/>
  <c r="R52" i="48"/>
  <c r="R28" i="48"/>
  <c r="R24" i="48"/>
  <c r="R44" i="48"/>
  <c r="R43" i="48"/>
  <c r="R55" i="48"/>
  <c r="R54" i="48"/>
  <c r="R38" i="48"/>
  <c r="R34" i="48"/>
  <c r="R19" i="48"/>
  <c r="R73" i="48"/>
  <c r="R62" i="48"/>
  <c r="R61" i="48"/>
  <c r="R46" i="48"/>
  <c r="R45" i="48"/>
  <c r="R29" i="48"/>
  <c r="R25" i="48"/>
  <c r="R57" i="48"/>
  <c r="R56" i="48"/>
  <c r="R63" i="48"/>
  <c r="R48" i="48"/>
  <c r="R47" i="48"/>
  <c r="R39" i="48"/>
  <c r="R35" i="48"/>
  <c r="R58" i="48"/>
  <c r="R31" i="48"/>
  <c r="R30" i="48"/>
  <c r="R26" i="48"/>
  <c r="R22" i="48"/>
  <c r="X12" i="48"/>
  <c r="Z12" i="48" s="1"/>
  <c r="R64" i="48"/>
  <c r="R27" i="48"/>
  <c r="R23" i="48"/>
  <c r="R21" i="48"/>
  <c r="R50" i="48"/>
  <c r="R65" i="48"/>
  <c r="R32" i="48"/>
  <c r="R59" i="48"/>
  <c r="R36" i="48"/>
  <c r="R51" i="48"/>
  <c r="R20" i="48"/>
  <c r="P17" i="48"/>
  <c r="X20" i="48"/>
  <c r="Z20" i="48" s="1"/>
  <c r="J43" i="39"/>
  <c r="J47" i="39"/>
  <c r="J51" i="39"/>
  <c r="V55" i="39"/>
  <c r="V63" i="39"/>
  <c r="J69" i="39"/>
  <c r="V75" i="39"/>
  <c r="J79" i="39"/>
  <c r="J85" i="39"/>
  <c r="V87" i="39"/>
  <c r="V107" i="39"/>
  <c r="V115" i="39"/>
  <c r="J122" i="39"/>
  <c r="V118" i="42"/>
  <c r="V108" i="42"/>
  <c r="V100" i="42"/>
  <c r="V96" i="42"/>
  <c r="V92" i="42"/>
  <c r="V80" i="42"/>
  <c r="V87" i="42"/>
  <c r="V109" i="42"/>
  <c r="V101" i="42"/>
  <c r="V97" i="42"/>
  <c r="V93" i="42"/>
  <c r="V122" i="42"/>
  <c r="V88" i="42"/>
  <c r="V105" i="42"/>
  <c r="V89" i="42"/>
  <c r="V77" i="42"/>
  <c r="V114" i="42"/>
  <c r="V112" i="42"/>
  <c r="V104" i="42"/>
  <c r="V84" i="42"/>
  <c r="V22" i="42"/>
  <c r="V50" i="42"/>
  <c r="V58" i="42"/>
  <c r="J66" i="42"/>
  <c r="V70" i="42"/>
  <c r="V110" i="42"/>
  <c r="V116" i="42"/>
  <c r="Z37" i="45"/>
  <c r="N48" i="45"/>
  <c r="Z73" i="45"/>
  <c r="N80" i="45"/>
  <c r="N42" i="48"/>
  <c r="T101" i="51"/>
  <c r="V46" i="51"/>
  <c r="J24" i="39"/>
  <c r="V44" i="39"/>
  <c r="V48" i="39"/>
  <c r="V56" i="39"/>
  <c r="J60" i="39"/>
  <c r="V64" i="39"/>
  <c r="J68" i="39"/>
  <c r="V72" i="39"/>
  <c r="V80" i="39"/>
  <c r="J84" i="39"/>
  <c r="V92" i="39"/>
  <c r="J96" i="39"/>
  <c r="J100" i="39"/>
  <c r="J104" i="39"/>
  <c r="J112" i="39"/>
  <c r="J121" i="39"/>
  <c r="V126" i="39"/>
  <c r="V31" i="42"/>
  <c r="V35" i="42"/>
  <c r="V51" i="42"/>
  <c r="V59" i="42"/>
  <c r="J65" i="42"/>
  <c r="V71" i="42"/>
  <c r="J75" i="42"/>
  <c r="J80" i="42"/>
  <c r="V86" i="42"/>
  <c r="F42" i="45"/>
  <c r="Z50" i="45"/>
  <c r="X50" i="45"/>
  <c r="Z54" i="45"/>
  <c r="Z56" i="45"/>
  <c r="J80" i="45"/>
  <c r="Z94" i="45"/>
  <c r="Z96" i="45"/>
  <c r="V68" i="42"/>
  <c r="V76" i="42"/>
  <c r="V81" i="42"/>
  <c r="F20" i="45"/>
  <c r="F75" i="45"/>
  <c r="F59" i="45"/>
  <c r="F58" i="45"/>
  <c r="F47" i="45"/>
  <c r="F43" i="45"/>
  <c r="F39" i="45"/>
  <c r="F99" i="45"/>
  <c r="F90" i="45"/>
  <c r="F86" i="45"/>
  <c r="F82" i="45"/>
  <c r="F70" i="45"/>
  <c r="F34" i="45"/>
  <c r="F30" i="45"/>
  <c r="F103" i="45"/>
  <c r="F61" i="45"/>
  <c r="F60" i="45"/>
  <c r="F49" i="45"/>
  <c r="F48" i="45"/>
  <c r="F21" i="45"/>
  <c r="F92" i="45"/>
  <c r="F91" i="45"/>
  <c r="F76" i="45"/>
  <c r="F44" i="45"/>
  <c r="F40" i="45"/>
  <c r="F87" i="45"/>
  <c r="F83" i="45"/>
  <c r="F71" i="45"/>
  <c r="F63" i="45"/>
  <c r="F62" i="45"/>
  <c r="F51" i="45"/>
  <c r="F50" i="45"/>
  <c r="F35" i="45"/>
  <c r="F31" i="45"/>
  <c r="F27" i="45"/>
  <c r="F26" i="45"/>
  <c r="F25" i="45"/>
  <c r="F23" i="45"/>
  <c r="F93" i="45"/>
  <c r="F77" i="45"/>
  <c r="F65" i="45"/>
  <c r="F64" i="45"/>
  <c r="F53" i="45"/>
  <c r="F52" i="45"/>
  <c r="F45" i="45"/>
  <c r="F41" i="45"/>
  <c r="D23" i="45"/>
  <c r="F88" i="45"/>
  <c r="F84" i="45"/>
  <c r="F72" i="45"/>
  <c r="F36" i="45"/>
  <c r="F32" i="45"/>
  <c r="F28" i="45"/>
  <c r="L12" i="45"/>
  <c r="F97" i="45"/>
  <c r="F96" i="45"/>
  <c r="F89" i="45"/>
  <c r="F85" i="45"/>
  <c r="F81" i="45"/>
  <c r="F80" i="45"/>
  <c r="F69" i="45"/>
  <c r="F68" i="45"/>
  <c r="F57" i="45"/>
  <c r="F56" i="45"/>
  <c r="F33" i="45"/>
  <c r="F29" i="45"/>
  <c r="F38" i="45"/>
  <c r="F74" i="45"/>
  <c r="V34" i="39"/>
  <c r="V38" i="39"/>
  <c r="J42" i="39"/>
  <c r="J46" i="39"/>
  <c r="J50" i="39"/>
  <c r="V54" i="39"/>
  <c r="V62" i="39"/>
  <c r="V70" i="39"/>
  <c r="J78" i="39"/>
  <c r="V86" i="39"/>
  <c r="V90" i="39"/>
  <c r="V106" i="39"/>
  <c r="J110" i="39"/>
  <c r="J118" i="39"/>
  <c r="J119" i="39"/>
  <c r="V21" i="42"/>
  <c r="J27" i="42"/>
  <c r="J33" i="42"/>
  <c r="J37" i="42"/>
  <c r="V49" i="42"/>
  <c r="J55" i="42"/>
  <c r="V57" i="42"/>
  <c r="J63" i="42"/>
  <c r="V69" i="42"/>
  <c r="J85" i="42"/>
  <c r="V102" i="42"/>
  <c r="J115" i="42"/>
  <c r="J99" i="45"/>
  <c r="J75" i="45"/>
  <c r="J59" i="45"/>
  <c r="J47" i="45"/>
  <c r="J43" i="45"/>
  <c r="J39" i="45"/>
  <c r="J90" i="45"/>
  <c r="J86" i="45"/>
  <c r="J82" i="45"/>
  <c r="J70" i="45"/>
  <c r="J60" i="45"/>
  <c r="J48" i="45"/>
  <c r="J34" i="45"/>
  <c r="J30" i="45"/>
  <c r="J103" i="45"/>
  <c r="J91" i="45"/>
  <c r="J61" i="45"/>
  <c r="J49" i="45"/>
  <c r="J21" i="45"/>
  <c r="J92" i="45"/>
  <c r="J76" i="45"/>
  <c r="J62" i="45"/>
  <c r="J50" i="45"/>
  <c r="J44" i="45"/>
  <c r="J40" i="45"/>
  <c r="J26" i="45"/>
  <c r="J87" i="45"/>
  <c r="J83" i="45"/>
  <c r="J71" i="45"/>
  <c r="J63" i="45"/>
  <c r="J51" i="45"/>
  <c r="J35" i="45"/>
  <c r="J31" i="45"/>
  <c r="J27" i="45"/>
  <c r="J25" i="45"/>
  <c r="J64" i="45"/>
  <c r="J52" i="45"/>
  <c r="H23" i="45"/>
  <c r="J93" i="45"/>
  <c r="J77" i="45"/>
  <c r="J65" i="45"/>
  <c r="J53" i="45"/>
  <c r="J45" i="45"/>
  <c r="J41" i="45"/>
  <c r="J94" i="45"/>
  <c r="J88" i="45"/>
  <c r="J84" i="45"/>
  <c r="J78" i="45"/>
  <c r="J72" i="45"/>
  <c r="J66" i="45"/>
  <c r="J54" i="45"/>
  <c r="J36" i="45"/>
  <c r="J32" i="45"/>
  <c r="J28" i="45"/>
  <c r="J18" i="45"/>
  <c r="N12" i="45"/>
  <c r="J95" i="45"/>
  <c r="J79" i="45"/>
  <c r="J73" i="45"/>
  <c r="J67" i="45"/>
  <c r="J55" i="45"/>
  <c r="J37" i="45"/>
  <c r="J19" i="45"/>
  <c r="J58" i="45"/>
  <c r="J20" i="45"/>
  <c r="T105" i="45"/>
  <c r="J29" i="45"/>
  <c r="J38" i="45"/>
  <c r="F55" i="45"/>
  <c r="J57" i="45"/>
  <c r="J74" i="45"/>
  <c r="Z80" i="45"/>
  <c r="F95" i="45"/>
  <c r="J97" i="45"/>
  <c r="J41" i="39"/>
  <c r="V43" i="39"/>
  <c r="V47" i="39"/>
  <c r="V51" i="39"/>
  <c r="J59" i="39"/>
  <c r="J67" i="39"/>
  <c r="V71" i="39"/>
  <c r="J77" i="39"/>
  <c r="V79" i="39"/>
  <c r="J83" i="39"/>
  <c r="V91" i="39"/>
  <c r="J95" i="39"/>
  <c r="J99" i="39"/>
  <c r="J103" i="39"/>
  <c r="J109" i="39"/>
  <c r="V30" i="42"/>
  <c r="V34" i="42"/>
  <c r="J42" i="42"/>
  <c r="J46" i="42"/>
  <c r="J54" i="42"/>
  <c r="J62" i="42"/>
  <c r="V66" i="42"/>
  <c r="J74" i="42"/>
  <c r="J79" i="42"/>
  <c r="J106" i="42"/>
  <c r="X107" i="42"/>
  <c r="Z26" i="45"/>
  <c r="V24" i="39"/>
  <c r="J28" i="39"/>
  <c r="J30" i="39"/>
  <c r="J32" i="39"/>
  <c r="J36" i="39"/>
  <c r="J40" i="39"/>
  <c r="V52" i="39"/>
  <c r="J58" i="39"/>
  <c r="V60" i="39"/>
  <c r="J66" i="39"/>
  <c r="V68" i="39"/>
  <c r="J76" i="39"/>
  <c r="J82" i="39"/>
  <c r="V84" i="39"/>
  <c r="J88" i="39"/>
  <c r="J94" i="39"/>
  <c r="V96" i="39"/>
  <c r="V100" i="39"/>
  <c r="V104" i="39"/>
  <c r="J108" i="39"/>
  <c r="V112" i="39"/>
  <c r="J116" i="39"/>
  <c r="V122" i="39"/>
  <c r="L13" i="42"/>
  <c r="N13" i="42" s="1"/>
  <c r="J23" i="42"/>
  <c r="V39" i="42"/>
  <c r="V43" i="42"/>
  <c r="V47" i="42"/>
  <c r="J53" i="42"/>
  <c r="J61" i="42"/>
  <c r="V67" i="42"/>
  <c r="J73" i="42"/>
  <c r="V75" i="42"/>
  <c r="J78" i="42"/>
  <c r="V83" i="42"/>
  <c r="V85" i="42"/>
  <c r="V95" i="42"/>
  <c r="V26" i="45"/>
  <c r="R59" i="45"/>
  <c r="F79" i="45"/>
  <c r="J81" i="45"/>
  <c r="P74" i="57"/>
  <c r="J93" i="39"/>
  <c r="J115" i="39"/>
  <c r="V121" i="39"/>
  <c r="V56" i="42"/>
  <c r="V64" i="42"/>
  <c r="J82" i="42"/>
  <c r="V91" i="42"/>
  <c r="J103" i="42"/>
  <c r="J111" i="42"/>
  <c r="V115" i="42"/>
  <c r="V117" i="42"/>
  <c r="F18" i="45"/>
  <c r="L57" i="48"/>
  <c r="N57" i="48" s="1"/>
  <c r="J74" i="57"/>
  <c r="J54" i="57"/>
  <c r="J46" i="57"/>
  <c r="J38" i="57"/>
  <c r="J34" i="57"/>
  <c r="J20" i="57"/>
  <c r="J61" i="57"/>
  <c r="J29" i="57"/>
  <c r="J25" i="57"/>
  <c r="J21" i="57"/>
  <c r="J19" i="57"/>
  <c r="J17" i="57"/>
  <c r="J15" i="57"/>
  <c r="J76" i="57"/>
  <c r="J62" i="57"/>
  <c r="J30" i="57"/>
  <c r="H17" i="57"/>
  <c r="J63" i="57"/>
  <c r="J55" i="57"/>
  <c r="J47" i="57"/>
  <c r="J39" i="57"/>
  <c r="J35" i="57"/>
  <c r="J31" i="57"/>
  <c r="J81" i="57"/>
  <c r="J78" i="57"/>
  <c r="J64" i="57"/>
  <c r="J56" i="57"/>
  <c r="J48" i="57"/>
  <c r="J26" i="57"/>
  <c r="J22" i="57"/>
  <c r="N12" i="57"/>
  <c r="J65" i="57"/>
  <c r="J57" i="57"/>
  <c r="J49" i="57"/>
  <c r="J66" i="57"/>
  <c r="J58" i="57"/>
  <c r="J67" i="57"/>
  <c r="J59" i="57"/>
  <c r="J51" i="57"/>
  <c r="J41" i="57"/>
  <c r="J27" i="57"/>
  <c r="J23" i="57"/>
  <c r="J52" i="57"/>
  <c r="J42" i="57"/>
  <c r="J72" i="57"/>
  <c r="J45" i="57"/>
  <c r="J71" i="57"/>
  <c r="J69" i="57"/>
  <c r="J60" i="57"/>
  <c r="J44" i="57"/>
  <c r="J28" i="57"/>
  <c r="J40" i="57"/>
  <c r="J32" i="57"/>
  <c r="J36" i="57"/>
  <c r="J43" i="57"/>
  <c r="J70" i="57"/>
  <c r="J53" i="57"/>
  <c r="J37" i="57"/>
  <c r="J50" i="57"/>
  <c r="J33" i="57"/>
  <c r="J24" i="57"/>
  <c r="J26" i="39"/>
  <c r="V42" i="39"/>
  <c r="V46" i="39"/>
  <c r="V50" i="39"/>
  <c r="J56" i="39"/>
  <c r="J64" i="39"/>
  <c r="J74" i="39"/>
  <c r="V78" i="39"/>
  <c r="J98" i="39"/>
  <c r="J102" i="39"/>
  <c r="V110" i="39"/>
  <c r="J114" i="39"/>
  <c r="V120" i="39"/>
  <c r="V29" i="42"/>
  <c r="V33" i="42"/>
  <c r="V37" i="42"/>
  <c r="J41" i="42"/>
  <c r="J45" i="42"/>
  <c r="J51" i="42"/>
  <c r="J59" i="42"/>
  <c r="V65" i="42"/>
  <c r="J71" i="42"/>
  <c r="V99" i="42"/>
  <c r="V107" i="42"/>
  <c r="N114" i="42"/>
  <c r="R47" i="45"/>
  <c r="R86" i="45"/>
  <c r="J89" i="45"/>
  <c r="N91" i="45"/>
  <c r="R17" i="48"/>
  <c r="J35" i="39"/>
  <c r="J39" i="39"/>
  <c r="J55" i="39"/>
  <c r="V59" i="39"/>
  <c r="J63" i="39"/>
  <c r="V67" i="39"/>
  <c r="J73" i="39"/>
  <c r="V83" i="39"/>
  <c r="J87" i="39"/>
  <c r="V95" i="39"/>
  <c r="V99" i="39"/>
  <c r="V103" i="39"/>
  <c r="V111" i="39"/>
  <c r="J112" i="42"/>
  <c r="J104" i="42"/>
  <c r="J90" i="42"/>
  <c r="J84" i="42"/>
  <c r="J105" i="42"/>
  <c r="J99" i="42"/>
  <c r="J95" i="42"/>
  <c r="J91" i="42"/>
  <c r="J116" i="42"/>
  <c r="J107" i="42"/>
  <c r="J117" i="42"/>
  <c r="J108" i="42"/>
  <c r="J100" i="42"/>
  <c r="J96" i="42"/>
  <c r="J92" i="42"/>
  <c r="J118" i="42"/>
  <c r="J109" i="42"/>
  <c r="J101" i="42"/>
  <c r="J97" i="42"/>
  <c r="J93" i="42"/>
  <c r="J87" i="42"/>
  <c r="J122" i="42"/>
  <c r="J102" i="42"/>
  <c r="J88" i="42"/>
  <c r="J22" i="42"/>
  <c r="T25" i="42"/>
  <c r="V38" i="42"/>
  <c r="V42" i="42"/>
  <c r="V46" i="42"/>
  <c r="J50" i="42"/>
  <c r="V54" i="42"/>
  <c r="J58" i="42"/>
  <c r="V62" i="42"/>
  <c r="J70" i="42"/>
  <c r="V74" i="42"/>
  <c r="V79" i="42"/>
  <c r="J94" i="42"/>
  <c r="J98" i="42"/>
  <c r="V106" i="42"/>
  <c r="J114" i="42"/>
  <c r="R34" i="45"/>
  <c r="L37" i="45"/>
  <c r="R43" i="45"/>
  <c r="N64" i="45"/>
  <c r="F66" i="45"/>
  <c r="N68" i="45"/>
  <c r="R70" i="45"/>
  <c r="L73" i="45"/>
  <c r="N73" i="45" s="1"/>
  <c r="X91" i="45"/>
  <c r="D12" i="48"/>
  <c r="L13" i="48"/>
  <c r="N13" i="48" s="1"/>
  <c r="T71" i="48"/>
  <c r="V17" i="48"/>
  <c r="Z31" i="48"/>
  <c r="N53" i="48"/>
  <c r="V40" i="45"/>
  <c r="V44" i="45"/>
  <c r="V52" i="45"/>
  <c r="V64" i="45"/>
  <c r="V76" i="45"/>
  <c r="V92" i="45"/>
  <c r="J34" i="51"/>
  <c r="J38" i="51"/>
  <c r="J42" i="51"/>
  <c r="X20" i="54"/>
  <c r="P22" i="54"/>
  <c r="X17" i="56"/>
  <c r="P79" i="56"/>
  <c r="V39" i="45"/>
  <c r="V43" i="45"/>
  <c r="V47" i="45"/>
  <c r="V59" i="45"/>
  <c r="V75" i="45"/>
  <c r="V91" i="45"/>
  <c r="J30" i="48"/>
  <c r="V40" i="48"/>
  <c r="N55" i="48"/>
  <c r="J57" i="48"/>
  <c r="N60" i="51"/>
  <c r="J69" i="51"/>
  <c r="N79" i="51"/>
  <c r="L48" i="56"/>
  <c r="N54" i="58"/>
  <c r="V20" i="45"/>
  <c r="V48" i="45"/>
  <c r="V60" i="45"/>
  <c r="N46" i="48"/>
  <c r="J63" i="48"/>
  <c r="D12" i="51"/>
  <c r="J60" i="51"/>
  <c r="N77" i="51"/>
  <c r="H79" i="56"/>
  <c r="N17" i="56"/>
  <c r="V29" i="45"/>
  <c r="V33" i="45"/>
  <c r="V57" i="45"/>
  <c r="V69" i="45"/>
  <c r="V81" i="45"/>
  <c r="V85" i="45"/>
  <c r="V89" i="45"/>
  <c r="V97" i="45"/>
  <c r="V99" i="45"/>
  <c r="V101" i="45"/>
  <c r="J46" i="48"/>
  <c r="X65" i="48"/>
  <c r="J43" i="51"/>
  <c r="J39" i="51"/>
  <c r="J35" i="51"/>
  <c r="J90" i="51"/>
  <c r="J70" i="51"/>
  <c r="J66" i="51"/>
  <c r="J62" i="51"/>
  <c r="J103" i="51"/>
  <c r="J81" i="51"/>
  <c r="J71" i="51"/>
  <c r="J57" i="51"/>
  <c r="J53" i="51"/>
  <c r="J82" i="51"/>
  <c r="J72" i="51"/>
  <c r="J44" i="51"/>
  <c r="J40" i="51"/>
  <c r="J36" i="51"/>
  <c r="J91" i="51"/>
  <c r="J83" i="51"/>
  <c r="J73" i="51"/>
  <c r="J67" i="51"/>
  <c r="J63" i="51"/>
  <c r="J49" i="51"/>
  <c r="J92" i="51"/>
  <c r="J84" i="51"/>
  <c r="J74" i="51"/>
  <c r="J58" i="51"/>
  <c r="J54" i="51"/>
  <c r="J50" i="51"/>
  <c r="J48" i="51"/>
  <c r="J46" i="51"/>
  <c r="J32" i="51"/>
  <c r="J93" i="51"/>
  <c r="J85" i="51"/>
  <c r="J75" i="51"/>
  <c r="H46" i="51"/>
  <c r="J41" i="51"/>
  <c r="J37" i="51"/>
  <c r="J33" i="51"/>
  <c r="J94" i="51"/>
  <c r="J86" i="51"/>
  <c r="J76" i="51"/>
  <c r="J68" i="51"/>
  <c r="J64" i="51"/>
  <c r="J95" i="51"/>
  <c r="J87" i="51"/>
  <c r="J77" i="51"/>
  <c r="J59" i="51"/>
  <c r="J55" i="51"/>
  <c r="J51" i="51"/>
  <c r="J99" i="51"/>
  <c r="J80" i="51"/>
  <c r="J56" i="51"/>
  <c r="J52" i="51"/>
  <c r="J65" i="51"/>
  <c r="D33" i="55"/>
  <c r="V38" i="45"/>
  <c r="V42" i="45"/>
  <c r="V46" i="45"/>
  <c r="V58" i="45"/>
  <c r="V74" i="45"/>
  <c r="X13" i="48"/>
  <c r="Z13" i="48" s="1"/>
  <c r="X51" i="48"/>
  <c r="Z51" i="48" s="1"/>
  <c r="Z57" i="48"/>
  <c r="Z60" i="51"/>
  <c r="X71" i="51"/>
  <c r="Z73" i="51"/>
  <c r="Z77" i="51"/>
  <c r="L88" i="51"/>
  <c r="N88" i="51" s="1"/>
  <c r="P33" i="55"/>
  <c r="V19" i="45"/>
  <c r="L52" i="45"/>
  <c r="V55" i="45"/>
  <c r="X58" i="45"/>
  <c r="Z58" i="45" s="1"/>
  <c r="L64" i="45"/>
  <c r="V67" i="45"/>
  <c r="V79" i="45"/>
  <c r="V95" i="45"/>
  <c r="J64" i="48"/>
  <c r="J40" i="48"/>
  <c r="J36" i="48"/>
  <c r="J32" i="48"/>
  <c r="J65" i="48"/>
  <c r="J59" i="48"/>
  <c r="J27" i="48"/>
  <c r="J66" i="48"/>
  <c r="J50" i="48"/>
  <c r="J51" i="48"/>
  <c r="J41" i="48"/>
  <c r="J37" i="48"/>
  <c r="J33" i="48"/>
  <c r="J69" i="48"/>
  <c r="J68" i="48"/>
  <c r="J60" i="48"/>
  <c r="J52" i="48"/>
  <c r="J42" i="48"/>
  <c r="J28" i="48"/>
  <c r="J24" i="48"/>
  <c r="J71" i="48"/>
  <c r="J53" i="48"/>
  <c r="J43" i="48"/>
  <c r="J54" i="48"/>
  <c r="J44" i="48"/>
  <c r="J38" i="48"/>
  <c r="J34" i="48"/>
  <c r="J73" i="48"/>
  <c r="J61" i="48"/>
  <c r="J55" i="48"/>
  <c r="J45" i="48"/>
  <c r="J29" i="48"/>
  <c r="J25" i="48"/>
  <c r="J21" i="48"/>
  <c r="J19" i="48"/>
  <c r="J17" i="48"/>
  <c r="J15" i="48"/>
  <c r="J23" i="48"/>
  <c r="L62" i="48"/>
  <c r="N62" i="48" s="1"/>
  <c r="Z65" i="48"/>
  <c r="Z49" i="51"/>
  <c r="J88" i="51"/>
  <c r="Z52" i="57"/>
  <c r="Z12" i="45"/>
  <c r="V28" i="45"/>
  <c r="V32" i="45"/>
  <c r="V36" i="45"/>
  <c r="V56" i="45"/>
  <c r="V68" i="45"/>
  <c r="V72" i="45"/>
  <c r="V80" i="45"/>
  <c r="V84" i="45"/>
  <c r="V88" i="45"/>
  <c r="V96" i="45"/>
  <c r="J20" i="48"/>
  <c r="J39" i="48"/>
  <c r="V50" i="48"/>
  <c r="J56" i="48"/>
  <c r="J58" i="48"/>
  <c r="J61" i="51"/>
  <c r="Z71" i="51"/>
  <c r="J98" i="51"/>
  <c r="T76" i="58"/>
  <c r="Z16" i="58"/>
  <c r="V37" i="45"/>
  <c r="V41" i="45"/>
  <c r="V45" i="45"/>
  <c r="V53" i="45"/>
  <c r="V65" i="45"/>
  <c r="V73" i="45"/>
  <c r="V77" i="45"/>
  <c r="V93" i="45"/>
  <c r="H75" i="48"/>
  <c r="J78" i="51"/>
  <c r="V18" i="45"/>
  <c r="V54" i="45"/>
  <c r="V66" i="45"/>
  <c r="V78" i="45"/>
  <c r="V94" i="45"/>
  <c r="J31" i="48"/>
  <c r="J35" i="48"/>
  <c r="J62" i="48"/>
  <c r="J75" i="48"/>
  <c r="D71" i="59"/>
  <c r="V27" i="45"/>
  <c r="V31" i="45"/>
  <c r="V35" i="45"/>
  <c r="V51" i="45"/>
  <c r="V63" i="45"/>
  <c r="V71" i="45"/>
  <c r="V83" i="45"/>
  <c r="V71" i="48"/>
  <c r="V69" i="48"/>
  <c r="V60" i="48"/>
  <c r="V52" i="48"/>
  <c r="V44" i="48"/>
  <c r="V28" i="48"/>
  <c r="V24" i="48"/>
  <c r="V55" i="48"/>
  <c r="V43" i="48"/>
  <c r="V62" i="48"/>
  <c r="V54" i="48"/>
  <c r="V46" i="48"/>
  <c r="V38" i="48"/>
  <c r="V34" i="48"/>
  <c r="V73" i="48"/>
  <c r="V61" i="48"/>
  <c r="V57" i="48"/>
  <c r="V45" i="48"/>
  <c r="V29" i="48"/>
  <c r="V25" i="48"/>
  <c r="V21" i="48"/>
  <c r="V56" i="48"/>
  <c r="V48" i="48"/>
  <c r="V63" i="48"/>
  <c r="V47" i="48"/>
  <c r="V39" i="48"/>
  <c r="V35" i="48"/>
  <c r="V31" i="48"/>
  <c r="V58" i="48"/>
  <c r="V30" i="48"/>
  <c r="V26" i="48"/>
  <c r="V22" i="48"/>
  <c r="V65" i="48"/>
  <c r="V49" i="48"/>
  <c r="V23" i="48"/>
  <c r="V27" i="48"/>
  <c r="V37" i="48"/>
  <c r="J47" i="48"/>
  <c r="J49" i="48"/>
  <c r="V64" i="48"/>
  <c r="P12" i="51"/>
  <c r="X82" i="51"/>
  <c r="Z82" i="51" s="1"/>
  <c r="J89" i="51"/>
  <c r="D22" i="54"/>
  <c r="X30" i="57"/>
  <c r="Z30" i="57" s="1"/>
  <c r="V31" i="54"/>
  <c r="F19" i="56"/>
  <c r="F17" i="56"/>
  <c r="F15" i="56"/>
  <c r="F75" i="56"/>
  <c r="F74" i="56"/>
  <c r="F67" i="56"/>
  <c r="F66" i="56"/>
  <c r="F59" i="56"/>
  <c r="F58" i="56"/>
  <c r="F47" i="56"/>
  <c r="F39" i="56"/>
  <c r="F35" i="56"/>
  <c r="F31" i="56"/>
  <c r="F30" i="56"/>
  <c r="D17" i="56"/>
  <c r="F49" i="56"/>
  <c r="F48" i="56"/>
  <c r="F79" i="56"/>
  <c r="F77" i="56"/>
  <c r="F68" i="56"/>
  <c r="F60" i="56"/>
  <c r="F40" i="56"/>
  <c r="F36" i="56"/>
  <c r="F32" i="56"/>
  <c r="F81" i="56"/>
  <c r="F51" i="56"/>
  <c r="F50" i="56"/>
  <c r="F27" i="56"/>
  <c r="F23" i="56"/>
  <c r="F69" i="56"/>
  <c r="F61" i="56"/>
  <c r="F53" i="56"/>
  <c r="F52" i="56"/>
  <c r="F37" i="56"/>
  <c r="F33" i="56"/>
  <c r="F86" i="56"/>
  <c r="F83" i="56"/>
  <c r="F44" i="56"/>
  <c r="F43" i="56"/>
  <c r="F28" i="56"/>
  <c r="F24" i="56"/>
  <c r="F73" i="56"/>
  <c r="F72" i="56"/>
  <c r="F65" i="56"/>
  <c r="F64" i="56"/>
  <c r="F57" i="56"/>
  <c r="F56" i="56"/>
  <c r="F29" i="56"/>
  <c r="F25" i="56"/>
  <c r="F21" i="56"/>
  <c r="F20" i="56"/>
  <c r="F41" i="56"/>
  <c r="F46" i="56"/>
  <c r="Z48" i="57"/>
  <c r="N30" i="58"/>
  <c r="L63" i="58"/>
  <c r="N63" i="58" s="1"/>
  <c r="N71" i="58"/>
  <c r="L71" i="58"/>
  <c r="V35" i="51"/>
  <c r="V39" i="51"/>
  <c r="V43" i="51"/>
  <c r="V71" i="51"/>
  <c r="L14" i="54"/>
  <c r="H16" i="54"/>
  <c r="L16" i="54" s="1"/>
  <c r="J26" i="54"/>
  <c r="V29" i="54"/>
  <c r="T16" i="55"/>
  <c r="J20" i="55"/>
  <c r="X21" i="55"/>
  <c r="L23" i="55"/>
  <c r="N23" i="55" s="1"/>
  <c r="R24" i="55"/>
  <c r="R33" i="55"/>
  <c r="R68" i="56"/>
  <c r="R60" i="56"/>
  <c r="R41" i="56"/>
  <c r="R40" i="56"/>
  <c r="R36" i="56"/>
  <c r="R32" i="56"/>
  <c r="R81" i="56"/>
  <c r="R52" i="56"/>
  <c r="R51" i="56"/>
  <c r="R27" i="56"/>
  <c r="R23" i="56"/>
  <c r="R86" i="56"/>
  <c r="R83" i="56"/>
  <c r="R70" i="56"/>
  <c r="R69" i="56"/>
  <c r="R62" i="56"/>
  <c r="R61" i="56"/>
  <c r="R54" i="56"/>
  <c r="R53" i="56"/>
  <c r="R37" i="56"/>
  <c r="R33" i="56"/>
  <c r="R45" i="56"/>
  <c r="R44" i="56"/>
  <c r="R28" i="56"/>
  <c r="R24" i="56"/>
  <c r="R72" i="56"/>
  <c r="R71" i="56"/>
  <c r="R64" i="56"/>
  <c r="R63" i="56"/>
  <c r="R56" i="56"/>
  <c r="R55" i="56"/>
  <c r="R20" i="56"/>
  <c r="R74" i="56"/>
  <c r="R73" i="56"/>
  <c r="R66" i="56"/>
  <c r="R65" i="56"/>
  <c r="R58" i="56"/>
  <c r="R57" i="56"/>
  <c r="R30" i="56"/>
  <c r="R29" i="56"/>
  <c r="R50" i="56"/>
  <c r="R49" i="56"/>
  <c r="R21" i="56"/>
  <c r="V25" i="56"/>
  <c r="R35" i="56"/>
  <c r="N52" i="56"/>
  <c r="F70" i="56"/>
  <c r="X15" i="57"/>
  <c r="L69" i="57"/>
  <c r="Z61" i="58"/>
  <c r="Z69" i="58"/>
  <c r="V52" i="51"/>
  <c r="V56" i="51"/>
  <c r="V80" i="51"/>
  <c r="F14" i="54"/>
  <c r="J16" i="54"/>
  <c r="V20" i="54"/>
  <c r="Z28" i="54"/>
  <c r="F18" i="55"/>
  <c r="F16" i="55"/>
  <c r="F14" i="55"/>
  <c r="F33" i="55"/>
  <c r="F31" i="55"/>
  <c r="F22" i="55"/>
  <c r="F21" i="55"/>
  <c r="F24" i="55"/>
  <c r="F23" i="55"/>
  <c r="X14" i="55"/>
  <c r="F19" i="55"/>
  <c r="R21" i="55"/>
  <c r="R37" i="55"/>
  <c r="V21" i="56"/>
  <c r="Z41" i="56"/>
  <c r="N64" i="56"/>
  <c r="L64" i="56"/>
  <c r="F72" i="57"/>
  <c r="F54" i="57"/>
  <c r="F46" i="57"/>
  <c r="F45" i="57"/>
  <c r="F38" i="57"/>
  <c r="F34" i="57"/>
  <c r="F74" i="57"/>
  <c r="F61" i="57"/>
  <c r="F29" i="57"/>
  <c r="F25" i="57"/>
  <c r="F21" i="57"/>
  <c r="F20" i="57"/>
  <c r="F76" i="57"/>
  <c r="F19" i="57"/>
  <c r="F17" i="57"/>
  <c r="F15" i="57"/>
  <c r="F63" i="57"/>
  <c r="F62" i="57"/>
  <c r="F55" i="57"/>
  <c r="F47" i="57"/>
  <c r="F39" i="57"/>
  <c r="F35" i="57"/>
  <c r="F31" i="57"/>
  <c r="F30" i="57"/>
  <c r="D17" i="57"/>
  <c r="F26" i="57"/>
  <c r="F22" i="57"/>
  <c r="L12" i="57"/>
  <c r="F81" i="57"/>
  <c r="F78" i="57"/>
  <c r="F65" i="57"/>
  <c r="F64" i="57"/>
  <c r="F57" i="57"/>
  <c r="F56" i="57"/>
  <c r="F40" i="57"/>
  <c r="F36" i="57"/>
  <c r="F32" i="57"/>
  <c r="F67" i="57"/>
  <c r="F66" i="57"/>
  <c r="F59" i="57"/>
  <c r="F58" i="57"/>
  <c r="F51" i="57"/>
  <c r="F50" i="57"/>
  <c r="F27" i="57"/>
  <c r="F23" i="57"/>
  <c r="F71" i="57"/>
  <c r="F69" i="57"/>
  <c r="F60" i="57"/>
  <c r="F44" i="57"/>
  <c r="F43" i="57"/>
  <c r="F28" i="57"/>
  <c r="F24" i="57"/>
  <c r="F41" i="57"/>
  <c r="F49" i="57"/>
  <c r="F53" i="57"/>
  <c r="X62" i="57"/>
  <c r="Z62" i="57" s="1"/>
  <c r="F70" i="57"/>
  <c r="X41" i="58"/>
  <c r="Z41" i="58" s="1"/>
  <c r="N29" i="60"/>
  <c r="L29" i="60"/>
  <c r="L65" i="63"/>
  <c r="N65" i="63" s="1"/>
  <c r="X13" i="68"/>
  <c r="P12" i="68"/>
  <c r="V61" i="51"/>
  <c r="V65" i="51"/>
  <c r="V69" i="51"/>
  <c r="V89" i="51"/>
  <c r="V99" i="51"/>
  <c r="V101" i="51"/>
  <c r="F24" i="54"/>
  <c r="V28" i="54"/>
  <c r="J22" i="55"/>
  <c r="J35" i="55"/>
  <c r="J23" i="55"/>
  <c r="J40" i="55"/>
  <c r="J37" i="55"/>
  <c r="J25" i="55"/>
  <c r="J26" i="55"/>
  <c r="Z21" i="55"/>
  <c r="J27" i="55"/>
  <c r="F34" i="56"/>
  <c r="F38" i="56"/>
  <c r="V41" i="56"/>
  <c r="F45" i="56"/>
  <c r="N56" i="56"/>
  <c r="L56" i="56"/>
  <c r="L72" i="56"/>
  <c r="N72" i="56" s="1"/>
  <c r="L43" i="57"/>
  <c r="N43" i="57" s="1"/>
  <c r="D76" i="58"/>
  <c r="N47" i="58"/>
  <c r="L47" i="58"/>
  <c r="V34" i="51"/>
  <c r="V38" i="51"/>
  <c r="V42" i="51"/>
  <c r="V78" i="51"/>
  <c r="V98" i="51"/>
  <c r="V18" i="54"/>
  <c r="F31" i="54"/>
  <c r="J19" i="55"/>
  <c r="R20" i="55"/>
  <c r="F35" i="55"/>
  <c r="L12" i="56"/>
  <c r="T17" i="56"/>
  <c r="F26" i="56"/>
  <c r="X50" i="56"/>
  <c r="Z50" i="56" s="1"/>
  <c r="P62" i="60"/>
  <c r="V51" i="51"/>
  <c r="V55" i="51"/>
  <c r="V59" i="51"/>
  <c r="V79" i="51"/>
  <c r="V87" i="51"/>
  <c r="V95" i="51"/>
  <c r="V97" i="51"/>
  <c r="T16" i="54"/>
  <c r="X16" i="54" s="1"/>
  <c r="V26" i="54"/>
  <c r="N12" i="55"/>
  <c r="J18" i="55"/>
  <c r="F29" i="55"/>
  <c r="X31" i="55"/>
  <c r="F22" i="56"/>
  <c r="R43" i="56"/>
  <c r="N45" i="56"/>
  <c r="X58" i="56"/>
  <c r="Z62" i="56"/>
  <c r="X66" i="56"/>
  <c r="X74" i="56"/>
  <c r="R77" i="56"/>
  <c r="R81" i="57"/>
  <c r="R78" i="57"/>
  <c r="R64" i="57"/>
  <c r="R63" i="57"/>
  <c r="R56" i="57"/>
  <c r="R55" i="57"/>
  <c r="R48" i="57"/>
  <c r="R47" i="57"/>
  <c r="R39" i="57"/>
  <c r="R35" i="57"/>
  <c r="R31" i="57"/>
  <c r="R26" i="57"/>
  <c r="R22" i="57"/>
  <c r="X12" i="57"/>
  <c r="R66" i="57"/>
  <c r="R65" i="57"/>
  <c r="R58" i="57"/>
  <c r="R57" i="57"/>
  <c r="R50" i="57"/>
  <c r="R49" i="57"/>
  <c r="R41" i="57"/>
  <c r="R40" i="57"/>
  <c r="R36" i="57"/>
  <c r="R32" i="57"/>
  <c r="R67" i="57"/>
  <c r="R59" i="57"/>
  <c r="R52" i="57"/>
  <c r="R51" i="57"/>
  <c r="R27" i="57"/>
  <c r="R23" i="57"/>
  <c r="R70" i="57"/>
  <c r="R69" i="57"/>
  <c r="R43" i="57"/>
  <c r="R42" i="57"/>
  <c r="R71" i="57"/>
  <c r="R72" i="57"/>
  <c r="R60" i="57"/>
  <c r="R45" i="57"/>
  <c r="R44" i="57"/>
  <c r="R28" i="57"/>
  <c r="R24" i="57"/>
  <c r="R74" i="57"/>
  <c r="R20" i="57"/>
  <c r="R76" i="57"/>
  <c r="X45" i="57"/>
  <c r="Z45" i="57" s="1"/>
  <c r="R61" i="57"/>
  <c r="N51" i="58"/>
  <c r="N18" i="59"/>
  <c r="D58" i="60"/>
  <c r="L16" i="60"/>
  <c r="L49" i="51"/>
  <c r="N49" i="51" s="1"/>
  <c r="V60" i="51"/>
  <c r="V64" i="51"/>
  <c r="V68" i="51"/>
  <c r="L73" i="51"/>
  <c r="N73" i="51" s="1"/>
  <c r="V76" i="51"/>
  <c r="X79" i="51"/>
  <c r="Z79" i="51" s="1"/>
  <c r="V88" i="51"/>
  <c r="X97" i="51"/>
  <c r="Z97" i="51" s="1"/>
  <c r="V16" i="54"/>
  <c r="F22" i="54"/>
  <c r="F29" i="54"/>
  <c r="R27" i="55"/>
  <c r="R26" i="55"/>
  <c r="R28" i="55"/>
  <c r="X12" i="55"/>
  <c r="J29" i="55"/>
  <c r="R31" i="55"/>
  <c r="V86" i="56"/>
  <c r="V83" i="56"/>
  <c r="V81" i="56"/>
  <c r="V51" i="56"/>
  <c r="V43" i="56"/>
  <c r="V27" i="56"/>
  <c r="V23" i="56"/>
  <c r="V70" i="56"/>
  <c r="V62" i="56"/>
  <c r="V54" i="56"/>
  <c r="V42" i="56"/>
  <c r="V69" i="56"/>
  <c r="V61" i="56"/>
  <c r="V53" i="56"/>
  <c r="V72" i="56"/>
  <c r="V64" i="56"/>
  <c r="V56" i="56"/>
  <c r="V44" i="56"/>
  <c r="V28" i="56"/>
  <c r="V24" i="56"/>
  <c r="V20" i="56"/>
  <c r="V71" i="56"/>
  <c r="V63" i="56"/>
  <c r="V55" i="56"/>
  <c r="V19" i="56"/>
  <c r="V17" i="56"/>
  <c r="V15" i="56"/>
  <c r="V74" i="56"/>
  <c r="V66" i="56"/>
  <c r="V58" i="56"/>
  <c r="V46" i="56"/>
  <c r="V38" i="56"/>
  <c r="V34" i="56"/>
  <c r="V30" i="56"/>
  <c r="V48" i="56"/>
  <c r="V79" i="56"/>
  <c r="V77" i="56"/>
  <c r="V75" i="56"/>
  <c r="V67" i="56"/>
  <c r="V59" i="56"/>
  <c r="V47" i="56"/>
  <c r="V39" i="56"/>
  <c r="V35" i="56"/>
  <c r="V31" i="56"/>
  <c r="V68" i="56"/>
  <c r="V60" i="56"/>
  <c r="V52" i="56"/>
  <c r="V40" i="56"/>
  <c r="V36" i="56"/>
  <c r="V32" i="56"/>
  <c r="F42" i="56"/>
  <c r="Z58" i="56"/>
  <c r="Z66" i="56"/>
  <c r="Z74" i="56"/>
  <c r="X58" i="58"/>
  <c r="Z58" i="58" s="1"/>
  <c r="V33" i="51"/>
  <c r="V37" i="51"/>
  <c r="V41" i="51"/>
  <c r="V77" i="51"/>
  <c r="V85" i="51"/>
  <c r="V93" i="51"/>
  <c r="V24" i="54"/>
  <c r="H16" i="55"/>
  <c r="F25" i="55"/>
  <c r="R35" i="55"/>
  <c r="F40" i="55"/>
  <c r="X12" i="56"/>
  <c r="X15" i="56"/>
  <c r="N19" i="56"/>
  <c r="Z45" i="56"/>
  <c r="F63" i="56"/>
  <c r="Z77" i="56"/>
  <c r="N19" i="57"/>
  <c r="F48" i="57"/>
  <c r="Z49" i="58"/>
  <c r="V50" i="51"/>
  <c r="V54" i="51"/>
  <c r="V58" i="51"/>
  <c r="V74" i="51"/>
  <c r="V86" i="51"/>
  <c r="V94" i="51"/>
  <c r="L12" i="54"/>
  <c r="F20" i="54"/>
  <c r="J22" i="54"/>
  <c r="J29" i="54"/>
  <c r="J16" i="55"/>
  <c r="X18" i="55"/>
  <c r="Z18" i="55" s="1"/>
  <c r="R19" i="55"/>
  <c r="R22" i="55"/>
  <c r="Z12" i="56"/>
  <c r="Z20" i="56"/>
  <c r="V26" i="56"/>
  <c r="Z30" i="56"/>
  <c r="V45" i="56"/>
  <c r="F55" i="56"/>
  <c r="F71" i="56"/>
  <c r="R79" i="56"/>
  <c r="F42" i="57"/>
  <c r="F52" i="57"/>
  <c r="N18" i="58"/>
  <c r="X41" i="59"/>
  <c r="Z41" i="59" s="1"/>
  <c r="V63" i="51"/>
  <c r="V67" i="51"/>
  <c r="V75" i="51"/>
  <c r="V83" i="51"/>
  <c r="R22" i="54"/>
  <c r="R20" i="54"/>
  <c r="R18" i="54"/>
  <c r="R16" i="54"/>
  <c r="R14" i="54"/>
  <c r="R24" i="54"/>
  <c r="R31" i="54"/>
  <c r="R29" i="54"/>
  <c r="R28" i="54"/>
  <c r="R26" i="54"/>
  <c r="L18" i="54"/>
  <c r="L16" i="55"/>
  <c r="R18" i="55"/>
  <c r="R29" i="55"/>
  <c r="R40" i="55"/>
  <c r="V22" i="56"/>
  <c r="V49" i="56"/>
  <c r="T71" i="59"/>
  <c r="J58" i="56"/>
  <c r="J66" i="56"/>
  <c r="J74" i="56"/>
  <c r="V31" i="57"/>
  <c r="V35" i="57"/>
  <c r="V39" i="57"/>
  <c r="V47" i="57"/>
  <c r="V55" i="57"/>
  <c r="V63" i="57"/>
  <c r="R32" i="58"/>
  <c r="R36" i="58"/>
  <c r="R40" i="58"/>
  <c r="R41" i="58"/>
  <c r="F47" i="58"/>
  <c r="F48" i="58"/>
  <c r="R52" i="58"/>
  <c r="F56" i="58"/>
  <c r="F63" i="58"/>
  <c r="F64" i="58"/>
  <c r="V67" i="58"/>
  <c r="F71" i="58"/>
  <c r="F72" i="58"/>
  <c r="R78" i="58"/>
  <c r="F65" i="59"/>
  <c r="X69" i="59"/>
  <c r="V39" i="60"/>
  <c r="Z44" i="61"/>
  <c r="L48" i="61"/>
  <c r="V100" i="63"/>
  <c r="V98" i="63"/>
  <c r="V88" i="63"/>
  <c r="V76" i="63"/>
  <c r="V60" i="63"/>
  <c r="V40" i="63"/>
  <c r="V36" i="63"/>
  <c r="V32" i="63"/>
  <c r="Z12" i="63"/>
  <c r="V87" i="63"/>
  <c r="V75" i="63"/>
  <c r="V63" i="63"/>
  <c r="V51" i="63"/>
  <c r="V43" i="63"/>
  <c r="V27" i="63"/>
  <c r="V23" i="63"/>
  <c r="V19" i="63"/>
  <c r="V90" i="63"/>
  <c r="V82" i="63"/>
  <c r="V78" i="63"/>
  <c r="V70" i="63"/>
  <c r="V62" i="63"/>
  <c r="V50" i="63"/>
  <c r="V89" i="63"/>
  <c r="V77" i="63"/>
  <c r="V65" i="63"/>
  <c r="V53" i="63"/>
  <c r="V37" i="63"/>
  <c r="V33" i="63"/>
  <c r="T16" i="63"/>
  <c r="V107" i="63"/>
  <c r="V104" i="63"/>
  <c r="V102" i="63"/>
  <c r="V72" i="63"/>
  <c r="V64" i="63"/>
  <c r="V52" i="63"/>
  <c r="V44" i="63"/>
  <c r="V28" i="63"/>
  <c r="V24" i="63"/>
  <c r="V20" i="63"/>
  <c r="V91" i="63"/>
  <c r="V83" i="63"/>
  <c r="V79" i="63"/>
  <c r="V71" i="63"/>
  <c r="V67" i="63"/>
  <c r="V55" i="63"/>
  <c r="V66" i="63"/>
  <c r="V54" i="63"/>
  <c r="V46" i="63"/>
  <c r="V38" i="63"/>
  <c r="V34" i="63"/>
  <c r="V30" i="63"/>
  <c r="V93" i="63"/>
  <c r="V73" i="63"/>
  <c r="V57" i="63"/>
  <c r="V45" i="63"/>
  <c r="V29" i="63"/>
  <c r="V25" i="63"/>
  <c r="V21" i="63"/>
  <c r="V92" i="63"/>
  <c r="V84" i="63"/>
  <c r="V80" i="63"/>
  <c r="V68" i="63"/>
  <c r="V56" i="63"/>
  <c r="V48" i="63"/>
  <c r="V97" i="63"/>
  <c r="V85" i="63"/>
  <c r="V81" i="63"/>
  <c r="V69" i="63"/>
  <c r="V61" i="63"/>
  <c r="V49" i="63"/>
  <c r="V41" i="63"/>
  <c r="J45" i="56"/>
  <c r="J55" i="56"/>
  <c r="J63" i="56"/>
  <c r="J71" i="56"/>
  <c r="T17" i="57"/>
  <c r="X17" i="57" s="1"/>
  <c r="V30" i="57"/>
  <c r="V34" i="57"/>
  <c r="V38" i="57"/>
  <c r="V46" i="57"/>
  <c r="V54" i="57"/>
  <c r="V62" i="57"/>
  <c r="L70" i="57"/>
  <c r="F14" i="58"/>
  <c r="F16" i="58"/>
  <c r="F18" i="58"/>
  <c r="R31" i="58"/>
  <c r="J34" i="58"/>
  <c r="R35" i="58"/>
  <c r="J38" i="58"/>
  <c r="R39" i="58"/>
  <c r="J46" i="58"/>
  <c r="V50" i="58"/>
  <c r="F54" i="58"/>
  <c r="F55" i="58"/>
  <c r="V58" i="58"/>
  <c r="J62" i="58"/>
  <c r="J70" i="58"/>
  <c r="R74" i="58"/>
  <c r="R76" i="58"/>
  <c r="F14" i="59"/>
  <c r="F16" i="59"/>
  <c r="F18" i="59"/>
  <c r="F35" i="59"/>
  <c r="R36" i="59"/>
  <c r="F43" i="59"/>
  <c r="R48" i="59"/>
  <c r="F56" i="59"/>
  <c r="F64" i="59"/>
  <c r="V66" i="59"/>
  <c r="R75" i="59"/>
  <c r="T64" i="61"/>
  <c r="N50" i="61"/>
  <c r="L53" i="63"/>
  <c r="N53" i="63" s="1"/>
  <c r="N61" i="63"/>
  <c r="L78" i="63"/>
  <c r="N78" i="63" s="1"/>
  <c r="N93" i="63"/>
  <c r="V96" i="63"/>
  <c r="L38" i="68"/>
  <c r="N38" i="68" s="1"/>
  <c r="J38" i="68"/>
  <c r="V15" i="57"/>
  <c r="V17" i="57"/>
  <c r="V19" i="57"/>
  <c r="H16" i="58"/>
  <c r="L16" i="58" s="1"/>
  <c r="F43" i="58"/>
  <c r="F44" i="58"/>
  <c r="R48" i="58"/>
  <c r="R49" i="58"/>
  <c r="R56" i="58"/>
  <c r="F60" i="58"/>
  <c r="R64" i="58"/>
  <c r="F67" i="58"/>
  <c r="F68" i="58"/>
  <c r="R72" i="58"/>
  <c r="H16" i="59"/>
  <c r="N43" i="59"/>
  <c r="H58" i="60"/>
  <c r="N16" i="60"/>
  <c r="N18" i="63"/>
  <c r="Z19" i="63"/>
  <c r="Z48" i="63"/>
  <c r="X48" i="63"/>
  <c r="N57" i="63"/>
  <c r="Z67" i="63"/>
  <c r="V74" i="63"/>
  <c r="X82" i="70"/>
  <c r="Z82" i="70" s="1"/>
  <c r="V82" i="70"/>
  <c r="T70" i="72"/>
  <c r="J52" i="56"/>
  <c r="V33" i="57"/>
  <c r="V37" i="57"/>
  <c r="V45" i="57"/>
  <c r="V53" i="57"/>
  <c r="V71" i="57"/>
  <c r="R34" i="58"/>
  <c r="R38" i="58"/>
  <c r="F41" i="58"/>
  <c r="F42" i="58"/>
  <c r="R46" i="58"/>
  <c r="R47" i="58"/>
  <c r="J53" i="58"/>
  <c r="R62" i="58"/>
  <c r="R63" i="58"/>
  <c r="F66" i="58"/>
  <c r="J67" i="58"/>
  <c r="R70" i="58"/>
  <c r="R71" i="58"/>
  <c r="F40" i="59"/>
  <c r="F36" i="59"/>
  <c r="F32" i="59"/>
  <c r="F67" i="59"/>
  <c r="F66" i="59"/>
  <c r="F51" i="59"/>
  <c r="F50" i="59"/>
  <c r="F71" i="59"/>
  <c r="F69" i="59"/>
  <c r="F60" i="59"/>
  <c r="F59" i="59"/>
  <c r="F62" i="59"/>
  <c r="F61" i="59"/>
  <c r="F54" i="59"/>
  <c r="F38" i="59"/>
  <c r="F34" i="59"/>
  <c r="F78" i="59"/>
  <c r="F75" i="59"/>
  <c r="F27" i="59"/>
  <c r="F53" i="59"/>
  <c r="N56" i="59"/>
  <c r="N64" i="59"/>
  <c r="R71" i="59"/>
  <c r="V44" i="60"/>
  <c r="V36" i="60"/>
  <c r="V32" i="60"/>
  <c r="Z12" i="60"/>
  <c r="V51" i="60"/>
  <c r="V43" i="60"/>
  <c r="V27" i="60"/>
  <c r="V23" i="60"/>
  <c r="V19" i="60"/>
  <c r="V53" i="60"/>
  <c r="V45" i="60"/>
  <c r="V37" i="60"/>
  <c r="V33" i="60"/>
  <c r="V29" i="60"/>
  <c r="T16" i="60"/>
  <c r="V52" i="60"/>
  <c r="V28" i="60"/>
  <c r="V24" i="60"/>
  <c r="V20" i="60"/>
  <c r="V47" i="60"/>
  <c r="V58" i="60"/>
  <c r="V56" i="60"/>
  <c r="V54" i="60"/>
  <c r="V46" i="60"/>
  <c r="V38" i="60"/>
  <c r="V34" i="60"/>
  <c r="V30" i="60"/>
  <c r="V49" i="60"/>
  <c r="V25" i="60"/>
  <c r="V21" i="60"/>
  <c r="V48" i="60"/>
  <c r="V40" i="60"/>
  <c r="V41" i="60"/>
  <c r="X16" i="60"/>
  <c r="N53" i="60"/>
  <c r="L53" i="60"/>
  <c r="D60" i="61"/>
  <c r="Z43" i="63"/>
  <c r="Z59" i="63"/>
  <c r="X59" i="63"/>
  <c r="V14" i="55"/>
  <c r="V16" i="55"/>
  <c r="V18" i="55"/>
  <c r="J23" i="56"/>
  <c r="J27" i="56"/>
  <c r="J41" i="56"/>
  <c r="J51" i="56"/>
  <c r="J81" i="56"/>
  <c r="V42" i="57"/>
  <c r="V70" i="57"/>
  <c r="F23" i="58"/>
  <c r="F27" i="58"/>
  <c r="V30" i="58"/>
  <c r="V34" i="58"/>
  <c r="V38" i="58"/>
  <c r="J42" i="58"/>
  <c r="V46" i="58"/>
  <c r="R55" i="58"/>
  <c r="F58" i="58"/>
  <c r="F59" i="58"/>
  <c r="V62" i="58"/>
  <c r="J66" i="58"/>
  <c r="V70" i="58"/>
  <c r="J80" i="58"/>
  <c r="J83" i="58"/>
  <c r="J67" i="59"/>
  <c r="J51" i="59"/>
  <c r="J41" i="59"/>
  <c r="J27" i="59"/>
  <c r="J58" i="59"/>
  <c r="J52" i="59"/>
  <c r="J60" i="59"/>
  <c r="J73" i="59"/>
  <c r="J61" i="59"/>
  <c r="J78" i="59"/>
  <c r="J75" i="59"/>
  <c r="J45" i="59"/>
  <c r="J63" i="59"/>
  <c r="J55" i="59"/>
  <c r="J47" i="59"/>
  <c r="F23" i="59"/>
  <c r="F30" i="59"/>
  <c r="J34" i="59"/>
  <c r="R35" i="59"/>
  <c r="F41" i="59"/>
  <c r="J53" i="59"/>
  <c r="R67" i="59"/>
  <c r="L14" i="60"/>
  <c r="V16" i="60"/>
  <c r="V26" i="60"/>
  <c r="X40" i="60"/>
  <c r="Z40" i="60" s="1"/>
  <c r="N44" i="60"/>
  <c r="V47" i="63"/>
  <c r="Z51" i="63"/>
  <c r="V59" i="63"/>
  <c r="V19" i="55"/>
  <c r="X13" i="56"/>
  <c r="J32" i="56"/>
  <c r="J36" i="56"/>
  <c r="J40" i="56"/>
  <c r="J50" i="56"/>
  <c r="J60" i="56"/>
  <c r="J68" i="56"/>
  <c r="V23" i="57"/>
  <c r="V27" i="57"/>
  <c r="V43" i="57"/>
  <c r="V51" i="57"/>
  <c r="V59" i="57"/>
  <c r="V67" i="57"/>
  <c r="V69" i="57"/>
  <c r="L12" i="58"/>
  <c r="P16" i="58"/>
  <c r="R20" i="58"/>
  <c r="J23" i="58"/>
  <c r="R24" i="58"/>
  <c r="J27" i="58"/>
  <c r="R28" i="58"/>
  <c r="F32" i="58"/>
  <c r="F36" i="58"/>
  <c r="F40" i="58"/>
  <c r="J41" i="58"/>
  <c r="R44" i="58"/>
  <c r="R45" i="58"/>
  <c r="V47" i="58"/>
  <c r="F51" i="58"/>
  <c r="F52" i="58"/>
  <c r="V55" i="58"/>
  <c r="J59" i="58"/>
  <c r="R60" i="58"/>
  <c r="R61" i="58"/>
  <c r="V63" i="58"/>
  <c r="R68" i="58"/>
  <c r="R69" i="58"/>
  <c r="V71" i="58"/>
  <c r="F78" i="58"/>
  <c r="L12" i="59"/>
  <c r="P16" i="59"/>
  <c r="R20" i="59"/>
  <c r="J23" i="59"/>
  <c r="R24" i="59"/>
  <c r="V35" i="59"/>
  <c r="F37" i="59"/>
  <c r="R38" i="59"/>
  <c r="R43" i="59"/>
  <c r="F45" i="59"/>
  <c r="X46" i="59"/>
  <c r="F49" i="59"/>
  <c r="L52" i="59"/>
  <c r="N52" i="59" s="1"/>
  <c r="F55" i="59"/>
  <c r="R56" i="59"/>
  <c r="F58" i="59"/>
  <c r="R59" i="59"/>
  <c r="F63" i="59"/>
  <c r="R64" i="59"/>
  <c r="F73" i="59"/>
  <c r="L18" i="60"/>
  <c r="V31" i="60"/>
  <c r="Z42" i="60"/>
  <c r="Z16" i="61"/>
  <c r="Z40" i="61"/>
  <c r="V14" i="63"/>
  <c r="Z18" i="63"/>
  <c r="Z55" i="63"/>
  <c r="J79" i="56"/>
  <c r="V32" i="57"/>
  <c r="V36" i="57"/>
  <c r="V40" i="57"/>
  <c r="V52" i="57"/>
  <c r="R33" i="58"/>
  <c r="R37" i="58"/>
  <c r="R53" i="58"/>
  <c r="R54" i="58"/>
  <c r="F57" i="58"/>
  <c r="F65" i="58"/>
  <c r="F74" i="58"/>
  <c r="F76" i="58"/>
  <c r="J78" i="58"/>
  <c r="Z43" i="59"/>
  <c r="F52" i="59"/>
  <c r="Z61" i="59"/>
  <c r="V42" i="60"/>
  <c r="V62" i="60"/>
  <c r="V42" i="63"/>
  <c r="N90" i="63"/>
  <c r="L90" i="63"/>
  <c r="J22" i="56"/>
  <c r="J26" i="56"/>
  <c r="J48" i="56"/>
  <c r="V41" i="57"/>
  <c r="V49" i="57"/>
  <c r="V57" i="57"/>
  <c r="V65" i="57"/>
  <c r="R19" i="58"/>
  <c r="F22" i="58"/>
  <c r="F26" i="58"/>
  <c r="V33" i="58"/>
  <c r="V37" i="58"/>
  <c r="R42" i="58"/>
  <c r="R43" i="58"/>
  <c r="V45" i="58"/>
  <c r="F49" i="58"/>
  <c r="F50" i="58"/>
  <c r="J51" i="58"/>
  <c r="V53" i="58"/>
  <c r="J57" i="58"/>
  <c r="V61" i="58"/>
  <c r="J65" i="58"/>
  <c r="R66" i="58"/>
  <c r="R67" i="58"/>
  <c r="V69" i="58"/>
  <c r="R61" i="59"/>
  <c r="R60" i="59"/>
  <c r="R44" i="59"/>
  <c r="R28" i="59"/>
  <c r="R73" i="59"/>
  <c r="R66" i="59"/>
  <c r="R19" i="59"/>
  <c r="F22" i="59"/>
  <c r="J26" i="59"/>
  <c r="V27" i="59"/>
  <c r="F29" i="59"/>
  <c r="V31" i="59"/>
  <c r="F33" i="59"/>
  <c r="R34" i="59"/>
  <c r="J40" i="59"/>
  <c r="V42" i="59"/>
  <c r="V43" i="59"/>
  <c r="F48" i="59"/>
  <c r="V53" i="59"/>
  <c r="R55" i="59"/>
  <c r="V56" i="59"/>
  <c r="X59" i="59"/>
  <c r="Z59" i="59" s="1"/>
  <c r="R63" i="59"/>
  <c r="J66" i="59"/>
  <c r="N18" i="60"/>
  <c r="Z19" i="60"/>
  <c r="V35" i="60"/>
  <c r="N18" i="61"/>
  <c r="Z29" i="61"/>
  <c r="H16" i="63"/>
  <c r="Z86" i="63"/>
  <c r="V94" i="63"/>
  <c r="J31" i="56"/>
  <c r="J35" i="56"/>
  <c r="J39" i="56"/>
  <c r="J47" i="56"/>
  <c r="J59" i="56"/>
  <c r="J67" i="56"/>
  <c r="Z12" i="57"/>
  <c r="V22" i="57"/>
  <c r="V26" i="57"/>
  <c r="V50" i="57"/>
  <c r="V58" i="57"/>
  <c r="V14" i="58"/>
  <c r="V16" i="58"/>
  <c r="V18" i="58"/>
  <c r="J22" i="58"/>
  <c r="R23" i="58"/>
  <c r="J26" i="58"/>
  <c r="R27" i="58"/>
  <c r="F30" i="58"/>
  <c r="F31" i="58"/>
  <c r="F35" i="58"/>
  <c r="V42" i="58"/>
  <c r="J50" i="58"/>
  <c r="V54" i="58"/>
  <c r="R59" i="58"/>
  <c r="J74" i="58"/>
  <c r="R80" i="58"/>
  <c r="V78" i="59"/>
  <c r="V75" i="59"/>
  <c r="V73" i="59"/>
  <c r="V62" i="59"/>
  <c r="V54" i="59"/>
  <c r="V46" i="59"/>
  <c r="V64" i="59"/>
  <c r="V63" i="59"/>
  <c r="V55" i="59"/>
  <c r="V65" i="59"/>
  <c r="V57" i="59"/>
  <c r="V49" i="59"/>
  <c r="V41" i="59"/>
  <c r="V71" i="59"/>
  <c r="V69" i="59"/>
  <c r="V67" i="59"/>
  <c r="V59" i="59"/>
  <c r="V51" i="59"/>
  <c r="V14" i="59"/>
  <c r="V16" i="59"/>
  <c r="V18" i="59"/>
  <c r="J22" i="59"/>
  <c r="R23" i="59"/>
  <c r="J29" i="59"/>
  <c r="X30" i="59"/>
  <c r="Z30" i="59" s="1"/>
  <c r="J33" i="59"/>
  <c r="V34" i="59"/>
  <c r="R45" i="59"/>
  <c r="V50" i="59"/>
  <c r="R58" i="59"/>
  <c r="X61" i="59"/>
  <c r="J69" i="59"/>
  <c r="V50" i="60"/>
  <c r="Z42" i="61"/>
  <c r="Z52" i="61"/>
  <c r="V22" i="63"/>
  <c r="V58" i="63"/>
  <c r="V86" i="63"/>
  <c r="F29" i="60"/>
  <c r="F30" i="60"/>
  <c r="F34" i="60"/>
  <c r="F38" i="60"/>
  <c r="F46" i="60"/>
  <c r="R50" i="60"/>
  <c r="F53" i="60"/>
  <c r="F54" i="60"/>
  <c r="R60" i="60"/>
  <c r="J51" i="61"/>
  <c r="F62" i="61"/>
  <c r="D16" i="63"/>
  <c r="F34" i="63"/>
  <c r="F38" i="63"/>
  <c r="J45" i="63"/>
  <c r="F53" i="63"/>
  <c r="F54" i="63"/>
  <c r="J55" i="63"/>
  <c r="R58" i="63"/>
  <c r="R59" i="63"/>
  <c r="F65" i="63"/>
  <c r="F66" i="63"/>
  <c r="J67" i="63"/>
  <c r="J73" i="63"/>
  <c r="R74" i="63"/>
  <c r="R94" i="63"/>
  <c r="X98" i="63"/>
  <c r="Z98" i="63" s="1"/>
  <c r="Z84" i="68"/>
  <c r="X84" i="68"/>
  <c r="F94" i="68"/>
  <c r="R52" i="69"/>
  <c r="R41" i="69"/>
  <c r="R40" i="69"/>
  <c r="R36" i="69"/>
  <c r="R32" i="69"/>
  <c r="R59" i="69"/>
  <c r="R27" i="69"/>
  <c r="R23" i="69"/>
  <c r="R43" i="69"/>
  <c r="R42" i="69"/>
  <c r="R54" i="69"/>
  <c r="R53" i="69"/>
  <c r="R37" i="69"/>
  <c r="R33" i="69"/>
  <c r="R61" i="69"/>
  <c r="R60" i="69"/>
  <c r="R45" i="69"/>
  <c r="R44" i="69"/>
  <c r="R28" i="69"/>
  <c r="R24" i="69"/>
  <c r="R55" i="69"/>
  <c r="R62" i="69"/>
  <c r="R47" i="69"/>
  <c r="R46" i="69"/>
  <c r="R38" i="69"/>
  <c r="R34" i="69"/>
  <c r="R15" i="69"/>
  <c r="R66" i="69"/>
  <c r="R64" i="69"/>
  <c r="R30" i="69"/>
  <c r="R29" i="69"/>
  <c r="R25" i="69"/>
  <c r="R57" i="69"/>
  <c r="R56" i="69"/>
  <c r="R49" i="69"/>
  <c r="R48" i="69"/>
  <c r="R21" i="69"/>
  <c r="R16" i="69"/>
  <c r="R73" i="69"/>
  <c r="R70" i="69"/>
  <c r="R22" i="69"/>
  <c r="R26" i="69"/>
  <c r="L77" i="70"/>
  <c r="N77" i="70" s="1"/>
  <c r="R21" i="60"/>
  <c r="R25" i="60"/>
  <c r="F33" i="60"/>
  <c r="F37" i="60"/>
  <c r="F44" i="60"/>
  <c r="F45" i="60"/>
  <c r="J52" i="60"/>
  <c r="R56" i="60"/>
  <c r="R58" i="60"/>
  <c r="F14" i="61"/>
  <c r="F16" i="61"/>
  <c r="F18" i="61"/>
  <c r="J30" i="61"/>
  <c r="R31" i="61"/>
  <c r="J34" i="61"/>
  <c r="R35" i="61"/>
  <c r="J38" i="61"/>
  <c r="R39" i="61"/>
  <c r="R40" i="61"/>
  <c r="F46" i="61"/>
  <c r="F47" i="61"/>
  <c r="J48" i="61"/>
  <c r="R51" i="61"/>
  <c r="R52" i="61"/>
  <c r="J58" i="61"/>
  <c r="J60" i="61"/>
  <c r="R64" i="61"/>
  <c r="R67" i="61"/>
  <c r="F33" i="63"/>
  <c r="F37" i="63"/>
  <c r="J44" i="63"/>
  <c r="R45" i="63"/>
  <c r="R46" i="63"/>
  <c r="J52" i="63"/>
  <c r="J64" i="63"/>
  <c r="R73" i="63"/>
  <c r="F76" i="63"/>
  <c r="F77" i="63"/>
  <c r="J78" i="63"/>
  <c r="F88" i="63"/>
  <c r="F89" i="63"/>
  <c r="J90" i="63"/>
  <c r="F100" i="63"/>
  <c r="J102" i="63"/>
  <c r="F81" i="68"/>
  <c r="H66" i="69"/>
  <c r="N18" i="69"/>
  <c r="P12" i="70"/>
  <c r="X66" i="70"/>
  <c r="Z66" i="70" s="1"/>
  <c r="Z86" i="70"/>
  <c r="Z94" i="70"/>
  <c r="X114" i="70"/>
  <c r="Z114" i="70" s="1"/>
  <c r="P112" i="70"/>
  <c r="X112" i="70" s="1"/>
  <c r="Z112" i="70" s="1"/>
  <c r="R38" i="60"/>
  <c r="R46" i="60"/>
  <c r="R47" i="60"/>
  <c r="R54" i="60"/>
  <c r="H16" i="61"/>
  <c r="F19" i="61"/>
  <c r="F20" i="61"/>
  <c r="F24" i="61"/>
  <c r="F28" i="61"/>
  <c r="J47" i="61"/>
  <c r="F55" i="61"/>
  <c r="F56" i="61"/>
  <c r="R62" i="61"/>
  <c r="F41" i="63"/>
  <c r="F42" i="63"/>
  <c r="F50" i="63"/>
  <c r="F61" i="63"/>
  <c r="F62" i="63"/>
  <c r="R66" i="63"/>
  <c r="R67" i="63"/>
  <c r="F70" i="63"/>
  <c r="J77" i="63"/>
  <c r="F82" i="63"/>
  <c r="J89" i="63"/>
  <c r="X18" i="69"/>
  <c r="P66" i="69"/>
  <c r="F23" i="60"/>
  <c r="F27" i="60"/>
  <c r="F42" i="60"/>
  <c r="F43" i="60"/>
  <c r="J44" i="60"/>
  <c r="F51" i="60"/>
  <c r="F62" i="60"/>
  <c r="F65" i="60"/>
  <c r="J14" i="61"/>
  <c r="J16" i="61"/>
  <c r="J18" i="61"/>
  <c r="J20" i="61"/>
  <c r="R21" i="61"/>
  <c r="J24" i="61"/>
  <c r="R25" i="61"/>
  <c r="J28" i="61"/>
  <c r="F33" i="61"/>
  <c r="F37" i="61"/>
  <c r="V40" i="61"/>
  <c r="F44" i="61"/>
  <c r="F45" i="61"/>
  <c r="J46" i="61"/>
  <c r="R49" i="61"/>
  <c r="R50" i="61"/>
  <c r="V52" i="61"/>
  <c r="J56" i="61"/>
  <c r="V62" i="61"/>
  <c r="V64" i="61"/>
  <c r="V67" i="61"/>
  <c r="F23" i="63"/>
  <c r="F27" i="63"/>
  <c r="J42" i="63"/>
  <c r="J50" i="63"/>
  <c r="J62" i="63"/>
  <c r="J70" i="63"/>
  <c r="R71" i="63"/>
  <c r="R72" i="63"/>
  <c r="F75" i="63"/>
  <c r="J76" i="63"/>
  <c r="R79" i="63"/>
  <c r="J82" i="63"/>
  <c r="R83" i="63"/>
  <c r="F86" i="63"/>
  <c r="F87" i="63"/>
  <c r="J88" i="63"/>
  <c r="R91" i="63"/>
  <c r="F96" i="63"/>
  <c r="F98" i="63"/>
  <c r="J100" i="63"/>
  <c r="R104" i="63"/>
  <c r="R107" i="63"/>
  <c r="Z38" i="68"/>
  <c r="N47" i="68"/>
  <c r="L58" i="68"/>
  <c r="F68" i="68"/>
  <c r="Z69" i="68"/>
  <c r="V71" i="68"/>
  <c r="V83" i="68"/>
  <c r="Z87" i="68"/>
  <c r="R18" i="69"/>
  <c r="D12" i="70"/>
  <c r="Z35" i="70"/>
  <c r="F54" i="61"/>
  <c r="P16" i="63"/>
  <c r="F32" i="63"/>
  <c r="F36" i="63"/>
  <c r="F40" i="63"/>
  <c r="R52" i="63"/>
  <c r="R53" i="63"/>
  <c r="F59" i="63"/>
  <c r="F60" i="63"/>
  <c r="J61" i="63"/>
  <c r="R64" i="63"/>
  <c r="R65" i="63"/>
  <c r="J75" i="63"/>
  <c r="J87" i="63"/>
  <c r="F97" i="63"/>
  <c r="J98" i="63"/>
  <c r="R102" i="63"/>
  <c r="N58" i="68"/>
  <c r="V87" i="68"/>
  <c r="R14" i="60"/>
  <c r="R16" i="60"/>
  <c r="R18" i="60"/>
  <c r="J32" i="60"/>
  <c r="R33" i="60"/>
  <c r="J36" i="60"/>
  <c r="R37" i="60"/>
  <c r="F40" i="60"/>
  <c r="F41" i="60"/>
  <c r="J42" i="60"/>
  <c r="R45" i="60"/>
  <c r="J62" i="60"/>
  <c r="J65" i="60"/>
  <c r="F23" i="61"/>
  <c r="F27" i="61"/>
  <c r="F42" i="61"/>
  <c r="F43" i="61"/>
  <c r="J44" i="61"/>
  <c r="R47" i="61"/>
  <c r="R48" i="61"/>
  <c r="J54" i="61"/>
  <c r="R58" i="61"/>
  <c r="R60" i="61"/>
  <c r="J32" i="63"/>
  <c r="R33" i="63"/>
  <c r="J36" i="63"/>
  <c r="R37" i="63"/>
  <c r="J40" i="63"/>
  <c r="F48" i="63"/>
  <c r="F49" i="63"/>
  <c r="J60" i="63"/>
  <c r="F69" i="63"/>
  <c r="R77" i="63"/>
  <c r="R78" i="63"/>
  <c r="F81" i="63"/>
  <c r="F85" i="63"/>
  <c r="J86" i="63"/>
  <c r="R89" i="63"/>
  <c r="R90" i="63"/>
  <c r="J96" i="63"/>
  <c r="J97" i="63"/>
  <c r="F82" i="68"/>
  <c r="F66" i="68"/>
  <c r="F37" i="68"/>
  <c r="F35" i="68"/>
  <c r="F30" i="68"/>
  <c r="F26" i="68"/>
  <c r="F25" i="68"/>
  <c r="L12" i="68"/>
  <c r="N12" i="68" s="1"/>
  <c r="F92" i="68"/>
  <c r="F90" i="68"/>
  <c r="F77" i="68"/>
  <c r="F76" i="68"/>
  <c r="F57" i="68"/>
  <c r="F53" i="68"/>
  <c r="F49" i="68"/>
  <c r="D35" i="68"/>
  <c r="F83" i="68"/>
  <c r="F59" i="68"/>
  <c r="F58" i="68"/>
  <c r="F31" i="68"/>
  <c r="F27" i="68"/>
  <c r="F78" i="68"/>
  <c r="F70" i="68"/>
  <c r="F69" i="68"/>
  <c r="F54" i="68"/>
  <c r="F50" i="68"/>
  <c r="F99" i="68"/>
  <c r="F96" i="68"/>
  <c r="F85" i="68"/>
  <c r="F84" i="68"/>
  <c r="F61" i="68"/>
  <c r="F60" i="68"/>
  <c r="F45" i="68"/>
  <c r="F41" i="68"/>
  <c r="F80" i="68"/>
  <c r="F79" i="68"/>
  <c r="F72" i="68"/>
  <c r="F71" i="68"/>
  <c r="F32" i="68"/>
  <c r="F28" i="68"/>
  <c r="F63" i="68"/>
  <c r="F62" i="68"/>
  <c r="F55" i="68"/>
  <c r="F51" i="68"/>
  <c r="F86" i="68"/>
  <c r="F74" i="68"/>
  <c r="F73" i="68"/>
  <c r="F46" i="68"/>
  <c r="F42" i="68"/>
  <c r="F75" i="68"/>
  <c r="F43" i="68"/>
  <c r="F39" i="68"/>
  <c r="F38" i="68"/>
  <c r="F29" i="68"/>
  <c r="Z47" i="68"/>
  <c r="F52" i="68"/>
  <c r="V79" i="68"/>
  <c r="X51" i="69"/>
  <c r="L61" i="69"/>
  <c r="X60" i="72"/>
  <c r="Z60" i="72" s="1"/>
  <c r="R19" i="60"/>
  <c r="F22" i="60"/>
  <c r="F26" i="60"/>
  <c r="J41" i="60"/>
  <c r="F49" i="60"/>
  <c r="F50" i="60"/>
  <c r="F60" i="60"/>
  <c r="L12" i="61"/>
  <c r="P16" i="61"/>
  <c r="R20" i="61"/>
  <c r="J23" i="61"/>
  <c r="R24" i="61"/>
  <c r="J27" i="61"/>
  <c r="R28" i="61"/>
  <c r="R29" i="61"/>
  <c r="F32" i="61"/>
  <c r="F36" i="61"/>
  <c r="J43" i="61"/>
  <c r="R56" i="61"/>
  <c r="R19" i="63"/>
  <c r="F22" i="63"/>
  <c r="F26" i="63"/>
  <c r="R42" i="63"/>
  <c r="R43" i="63"/>
  <c r="J49" i="63"/>
  <c r="R50" i="63"/>
  <c r="R51" i="63"/>
  <c r="F57" i="63"/>
  <c r="F58" i="63"/>
  <c r="J59" i="63"/>
  <c r="R62" i="63"/>
  <c r="R63" i="63"/>
  <c r="J69" i="63"/>
  <c r="R70" i="63"/>
  <c r="F74" i="63"/>
  <c r="J81" i="63"/>
  <c r="R82" i="63"/>
  <c r="J85" i="63"/>
  <c r="F93" i="63"/>
  <c r="F94" i="63"/>
  <c r="V27" i="68"/>
  <c r="V47" i="68"/>
  <c r="Z60" i="68"/>
  <c r="X60" i="68"/>
  <c r="X64" i="68"/>
  <c r="F88" i="68"/>
  <c r="L45" i="69"/>
  <c r="R51" i="69"/>
  <c r="N43" i="72"/>
  <c r="L43" i="72"/>
  <c r="H101" i="76"/>
  <c r="J46" i="76"/>
  <c r="Z64" i="68"/>
  <c r="X12" i="60"/>
  <c r="J31" i="60"/>
  <c r="R32" i="60"/>
  <c r="J35" i="60"/>
  <c r="R36" i="60"/>
  <c r="J39" i="60"/>
  <c r="F47" i="60"/>
  <c r="F48" i="60"/>
  <c r="J49" i="60"/>
  <c r="R19" i="61"/>
  <c r="F22" i="61"/>
  <c r="F26" i="61"/>
  <c r="V37" i="61"/>
  <c r="J41" i="61"/>
  <c r="V45" i="61"/>
  <c r="J53" i="61"/>
  <c r="R54" i="61"/>
  <c r="R55" i="61"/>
  <c r="X12" i="63"/>
  <c r="J31" i="63"/>
  <c r="R32" i="63"/>
  <c r="J35" i="63"/>
  <c r="R36" i="63"/>
  <c r="J39" i="63"/>
  <c r="R40" i="63"/>
  <c r="R41" i="63"/>
  <c r="J47" i="63"/>
  <c r="F55" i="63"/>
  <c r="F56" i="63"/>
  <c r="J57" i="63"/>
  <c r="R60" i="63"/>
  <c r="R61" i="63"/>
  <c r="F67" i="63"/>
  <c r="F68" i="63"/>
  <c r="F80" i="63"/>
  <c r="F84" i="63"/>
  <c r="F92" i="63"/>
  <c r="J93" i="63"/>
  <c r="R98" i="63"/>
  <c r="V85" i="68"/>
  <c r="V73" i="68"/>
  <c r="V61" i="68"/>
  <c r="V45" i="68"/>
  <c r="V41" i="68"/>
  <c r="V80" i="68"/>
  <c r="V72" i="68"/>
  <c r="V64" i="68"/>
  <c r="V32" i="68"/>
  <c r="V28" i="68"/>
  <c r="V86" i="68"/>
  <c r="V74" i="68"/>
  <c r="V46" i="68"/>
  <c r="V42" i="68"/>
  <c r="V38" i="68"/>
  <c r="V81" i="68"/>
  <c r="V65" i="68"/>
  <c r="V37" i="68"/>
  <c r="V33" i="68"/>
  <c r="V29" i="68"/>
  <c r="V25" i="68"/>
  <c r="V90" i="68"/>
  <c r="V88" i="68"/>
  <c r="V76" i="68"/>
  <c r="V56" i="68"/>
  <c r="V52" i="68"/>
  <c r="V48" i="68"/>
  <c r="T35" i="68"/>
  <c r="V35" i="68" s="1"/>
  <c r="V75" i="68"/>
  <c r="V67" i="68"/>
  <c r="V43" i="68"/>
  <c r="V39" i="68"/>
  <c r="V82" i="68"/>
  <c r="V66" i="68"/>
  <c r="V58" i="68"/>
  <c r="V30" i="68"/>
  <c r="V26" i="68"/>
  <c r="V77" i="68"/>
  <c r="V69" i="68"/>
  <c r="V57" i="68"/>
  <c r="V53" i="68"/>
  <c r="V49" i="68"/>
  <c r="V78" i="68"/>
  <c r="V70" i="68"/>
  <c r="V62" i="68"/>
  <c r="V54" i="68"/>
  <c r="V50" i="68"/>
  <c r="V31" i="68"/>
  <c r="F44" i="68"/>
  <c r="F48" i="68"/>
  <c r="F67" i="68"/>
  <c r="N55" i="70"/>
  <c r="X15" i="72"/>
  <c r="Z15" i="72"/>
  <c r="F21" i="60"/>
  <c r="R41" i="60"/>
  <c r="R42" i="60"/>
  <c r="J48" i="60"/>
  <c r="J56" i="60"/>
  <c r="R62" i="60"/>
  <c r="V14" i="61"/>
  <c r="V16" i="61"/>
  <c r="V18" i="61"/>
  <c r="J22" i="61"/>
  <c r="R23" i="61"/>
  <c r="J26" i="61"/>
  <c r="R27" i="61"/>
  <c r="F31" i="61"/>
  <c r="F35" i="61"/>
  <c r="F39" i="61"/>
  <c r="J40" i="61"/>
  <c r="R43" i="61"/>
  <c r="V46" i="61"/>
  <c r="F50" i="61"/>
  <c r="J52" i="61"/>
  <c r="J64" i="61"/>
  <c r="F21" i="63"/>
  <c r="F25" i="63"/>
  <c r="F29" i="63"/>
  <c r="J30" i="63"/>
  <c r="F45" i="63"/>
  <c r="J46" i="63"/>
  <c r="R49" i="63"/>
  <c r="J56" i="63"/>
  <c r="J68" i="63"/>
  <c r="R69" i="63"/>
  <c r="F72" i="63"/>
  <c r="F73" i="63"/>
  <c r="J80" i="63"/>
  <c r="R81" i="63"/>
  <c r="J84" i="63"/>
  <c r="R85" i="63"/>
  <c r="R86" i="63"/>
  <c r="R96" i="63"/>
  <c r="F104" i="63"/>
  <c r="F65" i="68"/>
  <c r="R50" i="69"/>
  <c r="H35" i="68"/>
  <c r="J66" i="68"/>
  <c r="J76" i="68"/>
  <c r="J82" i="68"/>
  <c r="J90" i="68"/>
  <c r="F25" i="69"/>
  <c r="F29" i="69"/>
  <c r="V32" i="69"/>
  <c r="V36" i="69"/>
  <c r="V40" i="69"/>
  <c r="J48" i="69"/>
  <c r="V52" i="69"/>
  <c r="J56" i="69"/>
  <c r="J64" i="69"/>
  <c r="J66" i="69"/>
  <c r="V36" i="70"/>
  <c r="V40" i="70"/>
  <c r="V44" i="70"/>
  <c r="V48" i="70"/>
  <c r="J54" i="70"/>
  <c r="J56" i="70"/>
  <c r="J60" i="70"/>
  <c r="J64" i="70"/>
  <c r="J80" i="70"/>
  <c r="V84" i="70"/>
  <c r="J88" i="70"/>
  <c r="V92" i="70"/>
  <c r="J96" i="70"/>
  <c r="V100" i="70"/>
  <c r="J112" i="70"/>
  <c r="J113" i="70"/>
  <c r="R24" i="72"/>
  <c r="V29" i="72"/>
  <c r="Z115" i="74"/>
  <c r="J29" i="68"/>
  <c r="J33" i="68"/>
  <c r="J47" i="68"/>
  <c r="J65" i="68"/>
  <c r="J81" i="68"/>
  <c r="J87" i="68"/>
  <c r="T18" i="69"/>
  <c r="F24" i="69"/>
  <c r="F28" i="69"/>
  <c r="V31" i="69"/>
  <c r="V35" i="69"/>
  <c r="V39" i="69"/>
  <c r="F43" i="69"/>
  <c r="F44" i="69"/>
  <c r="J45" i="69"/>
  <c r="V51" i="69"/>
  <c r="J55" i="69"/>
  <c r="F60" i="69"/>
  <c r="J61" i="69"/>
  <c r="V35" i="70"/>
  <c r="V39" i="70"/>
  <c r="V43" i="70"/>
  <c r="V47" i="70"/>
  <c r="J59" i="70"/>
  <c r="J63" i="70"/>
  <c r="J77" i="70"/>
  <c r="J87" i="70"/>
  <c r="J95" i="70"/>
  <c r="V103" i="70"/>
  <c r="J109" i="70"/>
  <c r="V115" i="70"/>
  <c r="V15" i="72"/>
  <c r="V19" i="72"/>
  <c r="V37" i="72"/>
  <c r="Z49" i="72"/>
  <c r="X49" i="72"/>
  <c r="N100" i="74"/>
  <c r="Z138" i="74"/>
  <c r="J42" i="68"/>
  <c r="J46" i="68"/>
  <c r="J64" i="68"/>
  <c r="J74" i="68"/>
  <c r="J86" i="68"/>
  <c r="V16" i="69"/>
  <c r="V18" i="69"/>
  <c r="V20" i="69"/>
  <c r="J24" i="69"/>
  <c r="J28" i="69"/>
  <c r="F33" i="69"/>
  <c r="F37" i="69"/>
  <c r="J44" i="69"/>
  <c r="V48" i="69"/>
  <c r="F53" i="69"/>
  <c r="J54" i="69"/>
  <c r="V56" i="69"/>
  <c r="J60" i="69"/>
  <c r="V56" i="70"/>
  <c r="V60" i="70"/>
  <c r="V64" i="70"/>
  <c r="J68" i="70"/>
  <c r="J72" i="70"/>
  <c r="J76" i="70"/>
  <c r="V80" i="70"/>
  <c r="J86" i="70"/>
  <c r="V88" i="70"/>
  <c r="J94" i="70"/>
  <c r="V96" i="70"/>
  <c r="V104" i="70"/>
  <c r="J108" i="70"/>
  <c r="V114" i="70"/>
  <c r="R28" i="72"/>
  <c r="V33" i="72"/>
  <c r="V49" i="72"/>
  <c r="P12" i="74"/>
  <c r="D12" i="75"/>
  <c r="L13" i="75"/>
  <c r="N13" i="75" s="1"/>
  <c r="T82" i="75"/>
  <c r="V52" i="79"/>
  <c r="J51" i="68"/>
  <c r="J55" i="68"/>
  <c r="J63" i="68"/>
  <c r="J73" i="68"/>
  <c r="V21" i="69"/>
  <c r="V25" i="69"/>
  <c r="V29" i="69"/>
  <c r="J33" i="69"/>
  <c r="J37" i="69"/>
  <c r="F41" i="69"/>
  <c r="F42" i="69"/>
  <c r="J43" i="69"/>
  <c r="V49" i="69"/>
  <c r="J53" i="69"/>
  <c r="V57" i="69"/>
  <c r="J37" i="70"/>
  <c r="J41" i="70"/>
  <c r="J45" i="70"/>
  <c r="J49" i="70"/>
  <c r="T52" i="70"/>
  <c r="V69" i="70"/>
  <c r="V73" i="70"/>
  <c r="J85" i="70"/>
  <c r="V89" i="70"/>
  <c r="J93" i="70"/>
  <c r="V97" i="70"/>
  <c r="J101" i="70"/>
  <c r="J107" i="70"/>
  <c r="V113" i="70"/>
  <c r="F77" i="72"/>
  <c r="F74" i="72"/>
  <c r="F55" i="72"/>
  <c r="F54" i="72"/>
  <c r="F39" i="72"/>
  <c r="F35" i="72"/>
  <c r="F62" i="72"/>
  <c r="F57" i="72"/>
  <c r="F56" i="72"/>
  <c r="F17" i="72"/>
  <c r="F66" i="72"/>
  <c r="F65" i="72"/>
  <c r="F58" i="72"/>
  <c r="F50" i="72"/>
  <c r="F49" i="72"/>
  <c r="F41" i="72"/>
  <c r="F37" i="72"/>
  <c r="F33" i="72"/>
  <c r="F32" i="72"/>
  <c r="D19" i="72"/>
  <c r="F52" i="72"/>
  <c r="F51" i="72"/>
  <c r="F70" i="72"/>
  <c r="F68" i="72"/>
  <c r="F59" i="72"/>
  <c r="F44" i="72"/>
  <c r="F43" i="72"/>
  <c r="R17" i="72"/>
  <c r="F22" i="72"/>
  <c r="V23" i="72"/>
  <c r="F27" i="72"/>
  <c r="V43" i="72"/>
  <c r="V59" i="72"/>
  <c r="X14" i="74"/>
  <c r="J62" i="68"/>
  <c r="J72" i="68"/>
  <c r="J80" i="68"/>
  <c r="F23" i="69"/>
  <c r="F27" i="69"/>
  <c r="V30" i="69"/>
  <c r="V34" i="69"/>
  <c r="V38" i="69"/>
  <c r="J42" i="69"/>
  <c r="V46" i="69"/>
  <c r="F59" i="69"/>
  <c r="V62" i="69"/>
  <c r="V64" i="69"/>
  <c r="F70" i="69"/>
  <c r="F73" i="69"/>
  <c r="V38" i="70"/>
  <c r="V42" i="70"/>
  <c r="V46" i="70"/>
  <c r="V50" i="70"/>
  <c r="V54" i="70"/>
  <c r="J58" i="70"/>
  <c r="J62" i="70"/>
  <c r="V78" i="70"/>
  <c r="J84" i="70"/>
  <c r="J92" i="70"/>
  <c r="J100" i="70"/>
  <c r="V102" i="70"/>
  <c r="J106" i="70"/>
  <c r="V110" i="70"/>
  <c r="V112" i="70"/>
  <c r="V17" i="72"/>
  <c r="N22" i="72"/>
  <c r="N32" i="72"/>
  <c r="F47" i="72"/>
  <c r="V48" i="72"/>
  <c r="R57" i="72"/>
  <c r="N79" i="74"/>
  <c r="L79" i="74"/>
  <c r="L41" i="75"/>
  <c r="D12" i="76"/>
  <c r="J41" i="68"/>
  <c r="J45" i="68"/>
  <c r="J61" i="68"/>
  <c r="J71" i="68"/>
  <c r="J79" i="68"/>
  <c r="J85" i="68"/>
  <c r="V15" i="69"/>
  <c r="D18" i="69"/>
  <c r="J23" i="69"/>
  <c r="J27" i="69"/>
  <c r="F32" i="69"/>
  <c r="F36" i="69"/>
  <c r="F40" i="69"/>
  <c r="J41" i="69"/>
  <c r="V47" i="69"/>
  <c r="F51" i="69"/>
  <c r="F52" i="69"/>
  <c r="V55" i="69"/>
  <c r="J59" i="69"/>
  <c r="V55" i="70"/>
  <c r="V59" i="70"/>
  <c r="V63" i="70"/>
  <c r="J67" i="70"/>
  <c r="J71" i="70"/>
  <c r="J75" i="70"/>
  <c r="V79" i="70"/>
  <c r="J83" i="70"/>
  <c r="V87" i="70"/>
  <c r="J91" i="70"/>
  <c r="V95" i="70"/>
  <c r="J99" i="70"/>
  <c r="V25" i="72"/>
  <c r="F38" i="72"/>
  <c r="F40" i="72"/>
  <c r="J79" i="74"/>
  <c r="N110" i="74"/>
  <c r="X54" i="75"/>
  <c r="Z54" i="75" s="1"/>
  <c r="X63" i="75"/>
  <c r="Z63" i="75" s="1"/>
  <c r="L68" i="75"/>
  <c r="N68" i="75" s="1"/>
  <c r="J103" i="76"/>
  <c r="J81" i="76"/>
  <c r="J71" i="76"/>
  <c r="J57" i="76"/>
  <c r="J53" i="76"/>
  <c r="J82" i="76"/>
  <c r="J72" i="76"/>
  <c r="J91" i="76"/>
  <c r="J83" i="76"/>
  <c r="J73" i="76"/>
  <c r="J67" i="76"/>
  <c r="J63" i="76"/>
  <c r="J49" i="76"/>
  <c r="J93" i="76"/>
  <c r="J85" i="76"/>
  <c r="J75" i="76"/>
  <c r="J94" i="76"/>
  <c r="J95" i="76"/>
  <c r="J87" i="76"/>
  <c r="J77" i="76"/>
  <c r="J59" i="76"/>
  <c r="J55" i="76"/>
  <c r="J51" i="76"/>
  <c r="J88" i="76"/>
  <c r="J78" i="76"/>
  <c r="J60" i="76"/>
  <c r="J42" i="76"/>
  <c r="J38" i="76"/>
  <c r="J34" i="76"/>
  <c r="J98" i="76"/>
  <c r="J97" i="76"/>
  <c r="J89" i="76"/>
  <c r="J79" i="76"/>
  <c r="J69" i="76"/>
  <c r="J65" i="76"/>
  <c r="J61" i="76"/>
  <c r="J90" i="76"/>
  <c r="J70" i="76"/>
  <c r="J50" i="76"/>
  <c r="J43" i="76"/>
  <c r="J40" i="76"/>
  <c r="J68" i="76"/>
  <c r="J66" i="76"/>
  <c r="J48" i="76"/>
  <c r="J80" i="76"/>
  <c r="J64" i="76"/>
  <c r="J41" i="76"/>
  <c r="J35" i="76"/>
  <c r="J62" i="76"/>
  <c r="J32" i="76"/>
  <c r="J101" i="76"/>
  <c r="J76" i="76"/>
  <c r="J44" i="76"/>
  <c r="J39" i="76"/>
  <c r="J92" i="76"/>
  <c r="J58" i="76"/>
  <c r="J56" i="76"/>
  <c r="J36" i="76"/>
  <c r="J33" i="76"/>
  <c r="J52" i="76"/>
  <c r="J37" i="76"/>
  <c r="J54" i="76"/>
  <c r="J84" i="76"/>
  <c r="J50" i="68"/>
  <c r="J54" i="68"/>
  <c r="J60" i="68"/>
  <c r="J70" i="68"/>
  <c r="J78" i="68"/>
  <c r="J84" i="68"/>
  <c r="X13" i="69"/>
  <c r="Z13" i="69" s="1"/>
  <c r="F18" i="69"/>
  <c r="F20" i="69"/>
  <c r="V24" i="69"/>
  <c r="V28" i="69"/>
  <c r="J32" i="69"/>
  <c r="J36" i="69"/>
  <c r="J40" i="69"/>
  <c r="V44" i="69"/>
  <c r="J52" i="69"/>
  <c r="V60" i="69"/>
  <c r="J70" i="69"/>
  <c r="J73" i="69"/>
  <c r="X13" i="70"/>
  <c r="Z13" i="70" s="1"/>
  <c r="J36" i="70"/>
  <c r="J40" i="70"/>
  <c r="J44" i="70"/>
  <c r="J48" i="70"/>
  <c r="J66" i="70"/>
  <c r="V68" i="70"/>
  <c r="V72" i="70"/>
  <c r="V76" i="70"/>
  <c r="J82" i="70"/>
  <c r="V108" i="70"/>
  <c r="V119" i="70"/>
  <c r="R32" i="72"/>
  <c r="R31" i="72"/>
  <c r="R27" i="72"/>
  <c r="R23" i="72"/>
  <c r="P19" i="72"/>
  <c r="R66" i="72"/>
  <c r="R58" i="72"/>
  <c r="R51" i="72"/>
  <c r="R50" i="72"/>
  <c r="R70" i="72"/>
  <c r="R68" i="72"/>
  <c r="R41" i="72"/>
  <c r="R37" i="72"/>
  <c r="R33" i="72"/>
  <c r="R60" i="72"/>
  <c r="R59" i="72"/>
  <c r="R72" i="72"/>
  <c r="R43" i="72"/>
  <c r="R42" i="72"/>
  <c r="R38" i="72"/>
  <c r="R34" i="72"/>
  <c r="R77" i="72"/>
  <c r="R74" i="72"/>
  <c r="R61" i="72"/>
  <c r="R54" i="72"/>
  <c r="R53" i="72"/>
  <c r="R29" i="72"/>
  <c r="R25" i="72"/>
  <c r="R45" i="72"/>
  <c r="R44" i="72"/>
  <c r="R56" i="72"/>
  <c r="R55" i="72"/>
  <c r="R39" i="72"/>
  <c r="R35" i="72"/>
  <c r="R65" i="72"/>
  <c r="R64" i="72"/>
  <c r="R49" i="72"/>
  <c r="R48" i="72"/>
  <c r="R40" i="72"/>
  <c r="R36" i="72"/>
  <c r="R63" i="72"/>
  <c r="N41" i="75"/>
  <c r="X75" i="76"/>
  <c r="Z75" i="76" s="1"/>
  <c r="V85" i="70"/>
  <c r="V93" i="70"/>
  <c r="V101" i="70"/>
  <c r="J105" i="70"/>
  <c r="V109" i="70"/>
  <c r="V70" i="72"/>
  <c r="V68" i="72"/>
  <c r="V66" i="72"/>
  <c r="V58" i="72"/>
  <c r="V50" i="72"/>
  <c r="V60" i="72"/>
  <c r="V52" i="72"/>
  <c r="V28" i="72"/>
  <c r="V24" i="72"/>
  <c r="V72" i="72"/>
  <c r="V54" i="72"/>
  <c r="V42" i="72"/>
  <c r="V61" i="72"/>
  <c r="V53" i="72"/>
  <c r="V45" i="72"/>
  <c r="V56" i="72"/>
  <c r="V44" i="72"/>
  <c r="V16" i="72"/>
  <c r="V63" i="72"/>
  <c r="V55" i="72"/>
  <c r="V47" i="72"/>
  <c r="V39" i="72"/>
  <c r="V35" i="72"/>
  <c r="V62" i="72"/>
  <c r="V46" i="72"/>
  <c r="V30" i="72"/>
  <c r="V26" i="72"/>
  <c r="V22" i="72"/>
  <c r="V51" i="72"/>
  <c r="V31" i="72"/>
  <c r="V27" i="72"/>
  <c r="V40" i="72"/>
  <c r="L115" i="74"/>
  <c r="N115" i="74" s="1"/>
  <c r="Z121" i="74"/>
  <c r="X121" i="74"/>
  <c r="V62" i="79"/>
  <c r="V54" i="79"/>
  <c r="V34" i="79"/>
  <c r="V30" i="79"/>
  <c r="V26" i="79"/>
  <c r="V69" i="79"/>
  <c r="V61" i="79"/>
  <c r="V53" i="79"/>
  <c r="V17" i="79"/>
  <c r="V68" i="79"/>
  <c r="V56" i="79"/>
  <c r="V44" i="79"/>
  <c r="V40" i="79"/>
  <c r="V36" i="79"/>
  <c r="V81" i="79"/>
  <c r="V63" i="79"/>
  <c r="V55" i="79"/>
  <c r="V31" i="79"/>
  <c r="V27" i="79"/>
  <c r="V70" i="79"/>
  <c r="V46" i="79"/>
  <c r="V18" i="79"/>
  <c r="V65" i="79"/>
  <c r="V57" i="79"/>
  <c r="V45" i="79"/>
  <c r="V41" i="79"/>
  <c r="V37" i="79"/>
  <c r="V72" i="79"/>
  <c r="V64" i="79"/>
  <c r="V48" i="79"/>
  <c r="V32" i="79"/>
  <c r="V28" i="79"/>
  <c r="V71" i="79"/>
  <c r="V59" i="79"/>
  <c r="V47" i="79"/>
  <c r="V19" i="79"/>
  <c r="V74" i="79"/>
  <c r="V66" i="79"/>
  <c r="V58" i="79"/>
  <c r="V50" i="79"/>
  <c r="V42" i="79"/>
  <c r="V38" i="79"/>
  <c r="V77" i="79"/>
  <c r="V75" i="79"/>
  <c r="V67" i="79"/>
  <c r="V51" i="79"/>
  <c r="V43" i="79"/>
  <c r="V39" i="79"/>
  <c r="V35" i="79"/>
  <c r="T22" i="79"/>
  <c r="V60" i="79"/>
  <c r="V25" i="79"/>
  <c r="V73" i="79"/>
  <c r="V22" i="79"/>
  <c r="V29" i="79"/>
  <c r="V49" i="79"/>
  <c r="V33" i="79"/>
  <c r="V20" i="79"/>
  <c r="J40" i="68"/>
  <c r="J44" i="68"/>
  <c r="J58" i="68"/>
  <c r="J68" i="68"/>
  <c r="J94" i="68"/>
  <c r="N12" i="69"/>
  <c r="J18" i="69"/>
  <c r="J20" i="69"/>
  <c r="J22" i="69"/>
  <c r="J26" i="69"/>
  <c r="F30" i="69"/>
  <c r="F31" i="69"/>
  <c r="F35" i="69"/>
  <c r="F39" i="69"/>
  <c r="V42" i="69"/>
  <c r="J50" i="69"/>
  <c r="V54" i="69"/>
  <c r="J58" i="69"/>
  <c r="F64" i="69"/>
  <c r="F66" i="69"/>
  <c r="J68" i="69"/>
  <c r="V58" i="70"/>
  <c r="V62" i="70"/>
  <c r="J70" i="70"/>
  <c r="J74" i="70"/>
  <c r="V86" i="70"/>
  <c r="J90" i="70"/>
  <c r="V94" i="70"/>
  <c r="J98" i="70"/>
  <c r="J104" i="70"/>
  <c r="V106" i="70"/>
  <c r="J115" i="70"/>
  <c r="X12" i="72"/>
  <c r="Z12" i="72" s="1"/>
  <c r="L15" i="72"/>
  <c r="N15" i="72" s="1"/>
  <c r="R16" i="72"/>
  <c r="H19" i="72"/>
  <c r="Z22" i="72"/>
  <c r="F31" i="72"/>
  <c r="Z32" i="72"/>
  <c r="V36" i="72"/>
  <c r="V38" i="72"/>
  <c r="R52" i="72"/>
  <c r="N54" i="72"/>
  <c r="F60" i="72"/>
  <c r="Z65" i="72"/>
  <c r="X65" i="72"/>
  <c r="Z110" i="74"/>
  <c r="J115" i="74"/>
  <c r="V121" i="74"/>
  <c r="P12" i="75"/>
  <c r="N30" i="75"/>
  <c r="Z41" i="75"/>
  <c r="N66" i="75"/>
  <c r="J49" i="68"/>
  <c r="J53" i="68"/>
  <c r="J57" i="68"/>
  <c r="J67" i="68"/>
  <c r="F15" i="69"/>
  <c r="F16" i="69"/>
  <c r="J21" i="69"/>
  <c r="V23" i="69"/>
  <c r="V27" i="69"/>
  <c r="J31" i="69"/>
  <c r="J35" i="69"/>
  <c r="J39" i="69"/>
  <c r="V43" i="69"/>
  <c r="F47" i="69"/>
  <c r="F48" i="69"/>
  <c r="J49" i="69"/>
  <c r="J39" i="70"/>
  <c r="J43" i="70"/>
  <c r="J47" i="70"/>
  <c r="H52" i="70"/>
  <c r="J52" i="70" s="1"/>
  <c r="V67" i="70"/>
  <c r="V71" i="70"/>
  <c r="V75" i="70"/>
  <c r="V83" i="70"/>
  <c r="J89" i="70"/>
  <c r="V91" i="70"/>
  <c r="J97" i="70"/>
  <c r="V99" i="70"/>
  <c r="J103" i="70"/>
  <c r="J114" i="70"/>
  <c r="R21" i="72"/>
  <c r="F26" i="72"/>
  <c r="V32" i="72"/>
  <c r="V34" i="72"/>
  <c r="F46" i="72"/>
  <c r="R47" i="72"/>
  <c r="N60" i="72"/>
  <c r="R62" i="72"/>
  <c r="F64" i="72"/>
  <c r="V65" i="72"/>
  <c r="Z119" i="74"/>
  <c r="N60" i="75"/>
  <c r="L60" i="75"/>
  <c r="P12" i="76"/>
  <c r="J35" i="72"/>
  <c r="J39" i="72"/>
  <c r="J45" i="72"/>
  <c r="J55" i="72"/>
  <c r="J55" i="74"/>
  <c r="J59" i="74"/>
  <c r="J63" i="74"/>
  <c r="J67" i="74"/>
  <c r="J71" i="74"/>
  <c r="H76" i="74"/>
  <c r="J89" i="74"/>
  <c r="V91" i="74"/>
  <c r="V95" i="74"/>
  <c r="V99" i="74"/>
  <c r="J107" i="74"/>
  <c r="V111" i="74"/>
  <c r="J117" i="74"/>
  <c r="J125" i="74"/>
  <c r="V127" i="74"/>
  <c r="J131" i="74"/>
  <c r="J135" i="74"/>
  <c r="V139" i="74"/>
  <c r="J146" i="74"/>
  <c r="V151" i="74"/>
  <c r="V48" i="75"/>
  <c r="V56" i="75"/>
  <c r="V64" i="75"/>
  <c r="J74" i="75"/>
  <c r="V80" i="75"/>
  <c r="V82" i="75"/>
  <c r="V32" i="76"/>
  <c r="Z50" i="79"/>
  <c r="Z52" i="79"/>
  <c r="R72" i="80"/>
  <c r="R55" i="80"/>
  <c r="R54" i="80"/>
  <c r="R38" i="80"/>
  <c r="R34" i="80"/>
  <c r="R15" i="80"/>
  <c r="R77" i="80"/>
  <c r="R74" i="80"/>
  <c r="R61" i="80"/>
  <c r="R46" i="80"/>
  <c r="R45" i="80"/>
  <c r="R29" i="80"/>
  <c r="R25" i="80"/>
  <c r="R56" i="80"/>
  <c r="R16" i="80"/>
  <c r="R48" i="80"/>
  <c r="R47" i="80"/>
  <c r="R39" i="80"/>
  <c r="R35" i="80"/>
  <c r="R63" i="80"/>
  <c r="R62" i="80"/>
  <c r="R31" i="80"/>
  <c r="R30" i="80"/>
  <c r="R26" i="80"/>
  <c r="X12" i="80"/>
  <c r="R58" i="80"/>
  <c r="R57" i="80"/>
  <c r="R50" i="80"/>
  <c r="R49" i="80"/>
  <c r="R22" i="80"/>
  <c r="R17" i="80"/>
  <c r="R65" i="80"/>
  <c r="R64" i="80"/>
  <c r="R40" i="80"/>
  <c r="R36" i="80"/>
  <c r="R32" i="80"/>
  <c r="R21" i="80"/>
  <c r="R19" i="80"/>
  <c r="R59" i="80"/>
  <c r="R52" i="80"/>
  <c r="R51" i="80"/>
  <c r="R27" i="80"/>
  <c r="R23" i="80"/>
  <c r="P19" i="80"/>
  <c r="R66" i="80"/>
  <c r="R44" i="80"/>
  <c r="R43" i="80"/>
  <c r="N21" i="80"/>
  <c r="J51" i="80"/>
  <c r="J34" i="72"/>
  <c r="J38" i="72"/>
  <c r="J42" i="72"/>
  <c r="J60" i="72"/>
  <c r="J72" i="72"/>
  <c r="J54" i="74"/>
  <c r="J58" i="74"/>
  <c r="J62" i="74"/>
  <c r="J66" i="74"/>
  <c r="J70" i="74"/>
  <c r="J74" i="74"/>
  <c r="V90" i="74"/>
  <c r="V94" i="74"/>
  <c r="V98" i="74"/>
  <c r="J104" i="74"/>
  <c r="V110" i="74"/>
  <c r="J114" i="74"/>
  <c r="V118" i="74"/>
  <c r="V126" i="74"/>
  <c r="J130" i="74"/>
  <c r="J134" i="74"/>
  <c r="V138" i="74"/>
  <c r="J142" i="74"/>
  <c r="H28" i="75"/>
  <c r="J41" i="75"/>
  <c r="J59" i="75"/>
  <c r="V63" i="75"/>
  <c r="J67" i="75"/>
  <c r="V75" i="75"/>
  <c r="V52" i="76"/>
  <c r="N79" i="76"/>
  <c r="Z97" i="76"/>
  <c r="J59" i="80"/>
  <c r="N68" i="83"/>
  <c r="R86" i="87"/>
  <c r="R85" i="87"/>
  <c r="R77" i="87"/>
  <c r="R73" i="87"/>
  <c r="R50" i="87"/>
  <c r="R49" i="87"/>
  <c r="R41" i="87"/>
  <c r="R37" i="87"/>
  <c r="R33" i="87"/>
  <c r="R22" i="87"/>
  <c r="R20" i="87"/>
  <c r="R61" i="87"/>
  <c r="R60" i="87"/>
  <c r="R28" i="87"/>
  <c r="R24" i="87"/>
  <c r="P20" i="87"/>
  <c r="R87" i="87"/>
  <c r="R68" i="87"/>
  <c r="R67" i="87"/>
  <c r="R52" i="87"/>
  <c r="R51" i="87"/>
  <c r="R91" i="87"/>
  <c r="R89" i="87"/>
  <c r="R78" i="87"/>
  <c r="R74" i="87"/>
  <c r="R63" i="87"/>
  <c r="R62" i="87"/>
  <c r="R43" i="87"/>
  <c r="R42" i="87"/>
  <c r="R38" i="87"/>
  <c r="R34" i="87"/>
  <c r="R70" i="87"/>
  <c r="R69" i="87"/>
  <c r="R54" i="87"/>
  <c r="R53" i="87"/>
  <c r="R29" i="87"/>
  <c r="R25" i="87"/>
  <c r="R64" i="87"/>
  <c r="R45" i="87"/>
  <c r="R44" i="87"/>
  <c r="X12" i="87"/>
  <c r="R93" i="87"/>
  <c r="R80" i="87"/>
  <c r="R79" i="87"/>
  <c r="R75" i="87"/>
  <c r="R71" i="87"/>
  <c r="R56" i="87"/>
  <c r="R55" i="87"/>
  <c r="R39" i="87"/>
  <c r="R35" i="87"/>
  <c r="R16" i="87"/>
  <c r="R98" i="87"/>
  <c r="R95" i="87"/>
  <c r="R47" i="87"/>
  <c r="R46" i="87"/>
  <c r="R30" i="87"/>
  <c r="R26" i="87"/>
  <c r="R82" i="87"/>
  <c r="R81" i="87"/>
  <c r="R65" i="87"/>
  <c r="R58" i="87"/>
  <c r="R57" i="87"/>
  <c r="R17" i="87"/>
  <c r="R66" i="87"/>
  <c r="R23" i="87"/>
  <c r="R18" i="87"/>
  <c r="R59" i="87"/>
  <c r="R31" i="87"/>
  <c r="R27" i="87"/>
  <c r="R84" i="87"/>
  <c r="R40" i="87"/>
  <c r="R72" i="87"/>
  <c r="R36" i="87"/>
  <c r="R32" i="87"/>
  <c r="R76" i="87"/>
  <c r="R83" i="87"/>
  <c r="R48" i="87"/>
  <c r="J59" i="72"/>
  <c r="V55" i="74"/>
  <c r="V59" i="74"/>
  <c r="V63" i="74"/>
  <c r="V67" i="74"/>
  <c r="V71" i="74"/>
  <c r="J83" i="74"/>
  <c r="J87" i="74"/>
  <c r="J103" i="74"/>
  <c r="V107" i="74"/>
  <c r="J113" i="74"/>
  <c r="V119" i="74"/>
  <c r="J123" i="74"/>
  <c r="V131" i="74"/>
  <c r="V135" i="74"/>
  <c r="P144" i="74"/>
  <c r="X144" i="74" s="1"/>
  <c r="Z144" i="74" s="1"/>
  <c r="V147" i="74"/>
  <c r="J26" i="75"/>
  <c r="J28" i="75"/>
  <c r="J30" i="75"/>
  <c r="J32" i="75"/>
  <c r="J36" i="75"/>
  <c r="J40" i="75"/>
  <c r="V52" i="75"/>
  <c r="J58" i="75"/>
  <c r="J66" i="75"/>
  <c r="J72" i="75"/>
  <c r="V76" i="75"/>
  <c r="J84" i="75"/>
  <c r="V37" i="76"/>
  <c r="T46" i="76"/>
  <c r="V46" i="76" s="1"/>
  <c r="V54" i="76"/>
  <c r="V63" i="76"/>
  <c r="V72" i="76"/>
  <c r="X84" i="76"/>
  <c r="Z84" i="76" s="1"/>
  <c r="Z74" i="79"/>
  <c r="R37" i="80"/>
  <c r="R53" i="80"/>
  <c r="P12" i="82"/>
  <c r="X13" i="82"/>
  <c r="Z13" i="82" s="1"/>
  <c r="Z77" i="84"/>
  <c r="J24" i="72"/>
  <c r="J28" i="72"/>
  <c r="J52" i="72"/>
  <c r="J68" i="72"/>
  <c r="V80" i="74"/>
  <c r="V84" i="74"/>
  <c r="V88" i="74"/>
  <c r="J92" i="74"/>
  <c r="J96" i="74"/>
  <c r="J102" i="74"/>
  <c r="V108" i="74"/>
  <c r="J112" i="74"/>
  <c r="V116" i="74"/>
  <c r="V124" i="74"/>
  <c r="V136" i="74"/>
  <c r="V146" i="74"/>
  <c r="J31" i="75"/>
  <c r="V33" i="75"/>
  <c r="V37" i="75"/>
  <c r="J45" i="75"/>
  <c r="J49" i="75"/>
  <c r="J57" i="75"/>
  <c r="V61" i="75"/>
  <c r="J65" i="75"/>
  <c r="V69" i="75"/>
  <c r="V73" i="75"/>
  <c r="N49" i="76"/>
  <c r="V74" i="76"/>
  <c r="Z79" i="76"/>
  <c r="Z92" i="76"/>
  <c r="X92" i="76"/>
  <c r="L98" i="76"/>
  <c r="D97" i="76"/>
  <c r="L97" i="76" s="1"/>
  <c r="N97" i="76" s="1"/>
  <c r="F66" i="80"/>
  <c r="F65" i="80"/>
  <c r="F21" i="80"/>
  <c r="F19" i="80"/>
  <c r="F53" i="80"/>
  <c r="F52" i="80"/>
  <c r="F41" i="80"/>
  <c r="F37" i="80"/>
  <c r="F33" i="80"/>
  <c r="D19" i="80"/>
  <c r="F60" i="80"/>
  <c r="F28" i="80"/>
  <c r="F24" i="80"/>
  <c r="F70" i="80"/>
  <c r="F68" i="80"/>
  <c r="F43" i="80"/>
  <c r="F42" i="80"/>
  <c r="F72" i="80"/>
  <c r="F54" i="80"/>
  <c r="F38" i="80"/>
  <c r="F34" i="80"/>
  <c r="F61" i="80"/>
  <c r="F45" i="80"/>
  <c r="F44" i="80"/>
  <c r="F29" i="80"/>
  <c r="F25" i="80"/>
  <c r="F56" i="80"/>
  <c r="F55" i="80"/>
  <c r="F16" i="80"/>
  <c r="F15" i="80"/>
  <c r="F77" i="80"/>
  <c r="F74" i="80"/>
  <c r="F47" i="80"/>
  <c r="F46" i="80"/>
  <c r="F39" i="80"/>
  <c r="F35" i="80"/>
  <c r="F62" i="80"/>
  <c r="F30" i="80"/>
  <c r="F26" i="80"/>
  <c r="L12" i="80"/>
  <c r="F59" i="80"/>
  <c r="F58" i="80"/>
  <c r="F51" i="80"/>
  <c r="F50" i="80"/>
  <c r="F27" i="80"/>
  <c r="F23" i="80"/>
  <c r="F22" i="80"/>
  <c r="R33" i="80"/>
  <c r="N73" i="84"/>
  <c r="Z75" i="84"/>
  <c r="X75" i="84"/>
  <c r="V75" i="84"/>
  <c r="J33" i="72"/>
  <c r="J37" i="72"/>
  <c r="J41" i="72"/>
  <c r="J51" i="72"/>
  <c r="D12" i="74"/>
  <c r="J53" i="74"/>
  <c r="J57" i="74"/>
  <c r="J61" i="74"/>
  <c r="J65" i="74"/>
  <c r="J69" i="74"/>
  <c r="J73" i="74"/>
  <c r="T76" i="74"/>
  <c r="V76" i="74" s="1"/>
  <c r="V89" i="74"/>
  <c r="V93" i="74"/>
  <c r="V97" i="74"/>
  <c r="J101" i="74"/>
  <c r="V105" i="74"/>
  <c r="V117" i="74"/>
  <c r="V125" i="74"/>
  <c r="J129" i="74"/>
  <c r="J133" i="74"/>
  <c r="J141" i="74"/>
  <c r="V145" i="74"/>
  <c r="V46" i="75"/>
  <c r="V50" i="75"/>
  <c r="J56" i="75"/>
  <c r="V74" i="75"/>
  <c r="V93" i="76"/>
  <c r="V85" i="76"/>
  <c r="V77" i="76"/>
  <c r="V41" i="76"/>
  <c r="V88" i="76"/>
  <c r="V76" i="76"/>
  <c r="V68" i="76"/>
  <c r="V64" i="76"/>
  <c r="V60" i="76"/>
  <c r="V97" i="76"/>
  <c r="V95" i="76"/>
  <c r="V87" i="76"/>
  <c r="V79" i="76"/>
  <c r="V59" i="76"/>
  <c r="V55" i="76"/>
  <c r="V51" i="76"/>
  <c r="V99" i="76"/>
  <c r="V89" i="76"/>
  <c r="V69" i="76"/>
  <c r="V65" i="76"/>
  <c r="V61" i="76"/>
  <c r="V71" i="76"/>
  <c r="V43" i="76"/>
  <c r="V90" i="76"/>
  <c r="V82" i="76"/>
  <c r="V70" i="76"/>
  <c r="V66" i="76"/>
  <c r="V62" i="76"/>
  <c r="V103" i="76"/>
  <c r="V81" i="76"/>
  <c r="V73" i="76"/>
  <c r="V57" i="76"/>
  <c r="V53" i="76"/>
  <c r="V49" i="76"/>
  <c r="V94" i="76"/>
  <c r="V86" i="76"/>
  <c r="V42" i="76"/>
  <c r="L48" i="76"/>
  <c r="N48" i="76" s="1"/>
  <c r="X49" i="76"/>
  <c r="Z49" i="76" s="1"/>
  <c r="V56" i="76"/>
  <c r="V58" i="76"/>
  <c r="V92" i="76"/>
  <c r="N46" i="79"/>
  <c r="J53" i="80"/>
  <c r="J41" i="80"/>
  <c r="J37" i="80"/>
  <c r="J33" i="80"/>
  <c r="J70" i="80"/>
  <c r="J68" i="80"/>
  <c r="J60" i="80"/>
  <c r="J42" i="80"/>
  <c r="J28" i="80"/>
  <c r="J24" i="80"/>
  <c r="J43" i="80"/>
  <c r="J72" i="80"/>
  <c r="J54" i="80"/>
  <c r="J44" i="80"/>
  <c r="J38" i="80"/>
  <c r="J34" i="80"/>
  <c r="J61" i="80"/>
  <c r="J55" i="80"/>
  <c r="J45" i="80"/>
  <c r="J29" i="80"/>
  <c r="J25" i="80"/>
  <c r="J15" i="80"/>
  <c r="J77" i="80"/>
  <c r="J74" i="80"/>
  <c r="J56" i="80"/>
  <c r="J46" i="80"/>
  <c r="J16" i="80"/>
  <c r="J47" i="80"/>
  <c r="J39" i="80"/>
  <c r="J35" i="80"/>
  <c r="J62" i="80"/>
  <c r="J48" i="80"/>
  <c r="J30" i="80"/>
  <c r="J26" i="80"/>
  <c r="N12" i="80"/>
  <c r="J63" i="80"/>
  <c r="J57" i="80"/>
  <c r="J49" i="80"/>
  <c r="J31" i="80"/>
  <c r="J17" i="80"/>
  <c r="J66" i="80"/>
  <c r="J52" i="80"/>
  <c r="H19" i="80"/>
  <c r="T94" i="83"/>
  <c r="T121" i="84"/>
  <c r="J50" i="72"/>
  <c r="J58" i="72"/>
  <c r="J66" i="72"/>
  <c r="J52" i="74"/>
  <c r="V62" i="74"/>
  <c r="V66" i="74"/>
  <c r="V70" i="74"/>
  <c r="V74" i="74"/>
  <c r="V78" i="74"/>
  <c r="J82" i="74"/>
  <c r="J86" i="74"/>
  <c r="J100" i="74"/>
  <c r="V106" i="74"/>
  <c r="V114" i="74"/>
  <c r="J122" i="74"/>
  <c r="J128" i="74"/>
  <c r="V130" i="74"/>
  <c r="V134" i="74"/>
  <c r="J140" i="74"/>
  <c r="V142" i="74"/>
  <c r="V144" i="74"/>
  <c r="J35" i="75"/>
  <c r="J39" i="75"/>
  <c r="J55" i="75"/>
  <c r="V59" i="75"/>
  <c r="V67" i="75"/>
  <c r="J71" i="75"/>
  <c r="J79" i="75"/>
  <c r="J80" i="75"/>
  <c r="V33" i="76"/>
  <c r="V36" i="76"/>
  <c r="V39" i="76"/>
  <c r="V67" i="76"/>
  <c r="F36" i="80"/>
  <c r="J40" i="80"/>
  <c r="N50" i="80"/>
  <c r="L50" i="80"/>
  <c r="V43" i="84"/>
  <c r="J139" i="74"/>
  <c r="J151" i="74"/>
  <c r="N22" i="80"/>
  <c r="L22" i="80"/>
  <c r="J22" i="72"/>
  <c r="J36" i="72"/>
  <c r="J40" i="72"/>
  <c r="J48" i="72"/>
  <c r="J64" i="72"/>
  <c r="J56" i="74"/>
  <c r="J60" i="74"/>
  <c r="J64" i="74"/>
  <c r="J68" i="74"/>
  <c r="J72" i="74"/>
  <c r="V92" i="74"/>
  <c r="V96" i="74"/>
  <c r="V104" i="74"/>
  <c r="J110" i="74"/>
  <c r="V112" i="74"/>
  <c r="X115" i="74"/>
  <c r="J120" i="74"/>
  <c r="L121" i="74"/>
  <c r="N121" i="74" s="1"/>
  <c r="J132" i="74"/>
  <c r="J138" i="74"/>
  <c r="V41" i="75"/>
  <c r="V45" i="75"/>
  <c r="V49" i="75"/>
  <c r="J53" i="75"/>
  <c r="V57" i="75"/>
  <c r="J63" i="75"/>
  <c r="V65" i="75"/>
  <c r="J77" i="75"/>
  <c r="V44" i="76"/>
  <c r="N73" i="76"/>
  <c r="V78" i="76"/>
  <c r="V98" i="76"/>
  <c r="X25" i="79"/>
  <c r="Z25" i="79" s="1"/>
  <c r="N50" i="79"/>
  <c r="L56" i="79"/>
  <c r="J19" i="80"/>
  <c r="J22" i="80"/>
  <c r="J32" i="80"/>
  <c r="J64" i="80"/>
  <c r="J57" i="72"/>
  <c r="J63" i="72"/>
  <c r="V61" i="74"/>
  <c r="V65" i="74"/>
  <c r="V69" i="74"/>
  <c r="V73" i="74"/>
  <c r="J81" i="74"/>
  <c r="J85" i="74"/>
  <c r="V101" i="74"/>
  <c r="J109" i="74"/>
  <c r="V113" i="74"/>
  <c r="J119" i="74"/>
  <c r="V129" i="74"/>
  <c r="V133" i="74"/>
  <c r="J137" i="74"/>
  <c r="V141" i="74"/>
  <c r="V26" i="75"/>
  <c r="V28" i="75"/>
  <c r="V30" i="75"/>
  <c r="J34" i="75"/>
  <c r="J38" i="75"/>
  <c r="J52" i="75"/>
  <c r="V58" i="75"/>
  <c r="J62" i="75"/>
  <c r="V66" i="75"/>
  <c r="J70" i="75"/>
  <c r="J76" i="75"/>
  <c r="V35" i="76"/>
  <c r="X48" i="76"/>
  <c r="Z48" i="76" s="1"/>
  <c r="X73" i="76"/>
  <c r="Z73" i="76" s="1"/>
  <c r="V80" i="76"/>
  <c r="V91" i="76"/>
  <c r="X50" i="79"/>
  <c r="R24" i="80"/>
  <c r="R28" i="80"/>
  <c r="N58" i="80"/>
  <c r="L58" i="80"/>
  <c r="N12" i="72"/>
  <c r="J26" i="72"/>
  <c r="J30" i="72"/>
  <c r="J46" i="72"/>
  <c r="J56" i="72"/>
  <c r="V82" i="74"/>
  <c r="V86" i="74"/>
  <c r="J90" i="74"/>
  <c r="J94" i="74"/>
  <c r="J98" i="74"/>
  <c r="V102" i="74"/>
  <c r="J108" i="74"/>
  <c r="J118" i="74"/>
  <c r="J126" i="74"/>
  <c r="J136" i="74"/>
  <c r="V31" i="75"/>
  <c r="V35" i="75"/>
  <c r="V39" i="75"/>
  <c r="J43" i="75"/>
  <c r="J47" i="75"/>
  <c r="J51" i="75"/>
  <c r="V55" i="75"/>
  <c r="Z32" i="76"/>
  <c r="V38" i="76"/>
  <c r="L75" i="76"/>
  <c r="N75" i="76" s="1"/>
  <c r="N56" i="79"/>
  <c r="R42" i="80"/>
  <c r="Z44" i="80"/>
  <c r="X44" i="80"/>
  <c r="J58" i="80"/>
  <c r="R60" i="80"/>
  <c r="R70" i="80"/>
  <c r="P12" i="79"/>
  <c r="F28" i="79"/>
  <c r="F32" i="79"/>
  <c r="J47" i="79"/>
  <c r="F64" i="79"/>
  <c r="J65" i="79"/>
  <c r="J71" i="79"/>
  <c r="F83" i="79"/>
  <c r="F86" i="79"/>
  <c r="V34" i="80"/>
  <c r="V38" i="80"/>
  <c r="V46" i="80"/>
  <c r="V54" i="80"/>
  <c r="V72" i="80"/>
  <c r="V74" i="80"/>
  <c r="V77" i="80"/>
  <c r="T23" i="82"/>
  <c r="X35" i="82"/>
  <c r="R30" i="83"/>
  <c r="L68" i="83"/>
  <c r="F81" i="83"/>
  <c r="X46" i="84"/>
  <c r="Z46" i="84" s="1"/>
  <c r="J53" i="84"/>
  <c r="J18" i="79"/>
  <c r="F27" i="79"/>
  <c r="F31" i="79"/>
  <c r="F54" i="79"/>
  <c r="F55" i="79"/>
  <c r="J56" i="79"/>
  <c r="F62" i="79"/>
  <c r="F63" i="79"/>
  <c r="J70" i="79"/>
  <c r="F81" i="79"/>
  <c r="V33" i="80"/>
  <c r="V37" i="80"/>
  <c r="V41" i="80"/>
  <c r="V53" i="80"/>
  <c r="V29" i="82"/>
  <c r="V34" i="82"/>
  <c r="V41" i="82"/>
  <c r="R41" i="83"/>
  <c r="Z46" i="83"/>
  <c r="R70" i="83"/>
  <c r="R83" i="83"/>
  <c r="Z85" i="83"/>
  <c r="J80" i="84"/>
  <c r="N52" i="87"/>
  <c r="J17" i="79"/>
  <c r="D22" i="79"/>
  <c r="J27" i="79"/>
  <c r="J31" i="79"/>
  <c r="F35" i="79"/>
  <c r="F36" i="79"/>
  <c r="F40" i="79"/>
  <c r="F44" i="79"/>
  <c r="J55" i="79"/>
  <c r="J63" i="79"/>
  <c r="F68" i="79"/>
  <c r="J69" i="79"/>
  <c r="F77" i="79"/>
  <c r="F79" i="79"/>
  <c r="J81" i="79"/>
  <c r="V42" i="80"/>
  <c r="V66" i="80"/>
  <c r="V68" i="80"/>
  <c r="V70" i="80"/>
  <c r="D12" i="82"/>
  <c r="V21" i="82"/>
  <c r="V45" i="82"/>
  <c r="H49" i="82"/>
  <c r="J49" i="82" s="1"/>
  <c r="N23" i="83"/>
  <c r="R77" i="83"/>
  <c r="Z83" i="83"/>
  <c r="V85" i="83"/>
  <c r="X16" i="91"/>
  <c r="P85" i="91"/>
  <c r="F22" i="79"/>
  <c r="F24" i="79"/>
  <c r="J36" i="79"/>
  <c r="J40" i="79"/>
  <c r="J44" i="79"/>
  <c r="F52" i="79"/>
  <c r="F53" i="79"/>
  <c r="J54" i="79"/>
  <c r="F61" i="79"/>
  <c r="J62" i="79"/>
  <c r="J68" i="79"/>
  <c r="H79" i="79"/>
  <c r="J79" i="79" s="1"/>
  <c r="V23" i="80"/>
  <c r="V27" i="80"/>
  <c r="V51" i="80"/>
  <c r="V59" i="80"/>
  <c r="J43" i="82"/>
  <c r="J39" i="82"/>
  <c r="J34" i="82"/>
  <c r="J30" i="82"/>
  <c r="J44" i="82"/>
  <c r="J40" i="82"/>
  <c r="J36" i="82"/>
  <c r="J26" i="82"/>
  <c r="J45" i="82"/>
  <c r="J41" i="82"/>
  <c r="J32" i="82"/>
  <c r="J28" i="82"/>
  <c r="J18" i="82"/>
  <c r="J47" i="82"/>
  <c r="J19" i="82"/>
  <c r="X26" i="82"/>
  <c r="J23" i="83"/>
  <c r="F25" i="83"/>
  <c r="R37" i="83"/>
  <c r="R45" i="83"/>
  <c r="L80" i="83"/>
  <c r="N67" i="84"/>
  <c r="J84" i="84"/>
  <c r="N45" i="87"/>
  <c r="L45" i="87"/>
  <c r="N18" i="89"/>
  <c r="L18" i="89"/>
  <c r="F25" i="79"/>
  <c r="F26" i="79"/>
  <c r="F30" i="79"/>
  <c r="F34" i="79"/>
  <c r="J53" i="79"/>
  <c r="J61" i="79"/>
  <c r="J77" i="79"/>
  <c r="T19" i="80"/>
  <c r="V32" i="80"/>
  <c r="V36" i="80"/>
  <c r="V40" i="80"/>
  <c r="V52" i="80"/>
  <c r="V64" i="80"/>
  <c r="F80" i="83"/>
  <c r="J119" i="84"/>
  <c r="J99" i="84"/>
  <c r="J83" i="84"/>
  <c r="J73" i="84"/>
  <c r="J110" i="84"/>
  <c r="J123" i="84"/>
  <c r="J111" i="84"/>
  <c r="J105" i="84"/>
  <c r="J93" i="84"/>
  <c r="J85" i="84"/>
  <c r="J75" i="84"/>
  <c r="J113" i="84"/>
  <c r="J101" i="84"/>
  <c r="J95" i="84"/>
  <c r="J87" i="84"/>
  <c r="J77" i="84"/>
  <c r="J114" i="84"/>
  <c r="J106" i="84"/>
  <c r="J102" i="84"/>
  <c r="J89" i="84"/>
  <c r="J79" i="84"/>
  <c r="J67" i="84"/>
  <c r="J115" i="84"/>
  <c r="J107" i="84"/>
  <c r="J103" i="84"/>
  <c r="J91" i="84"/>
  <c r="J104" i="84"/>
  <c r="J112" i="84"/>
  <c r="J71" i="84"/>
  <c r="J66" i="84"/>
  <c r="J54" i="84"/>
  <c r="J50" i="84"/>
  <c r="J81" i="84"/>
  <c r="J63" i="84"/>
  <c r="J41" i="84"/>
  <c r="J37" i="84"/>
  <c r="J92" i="84"/>
  <c r="J78" i="84"/>
  <c r="J46" i="84"/>
  <c r="J97" i="84"/>
  <c r="J90" i="84"/>
  <c r="J86" i="84"/>
  <c r="J60" i="84"/>
  <c r="J55" i="84"/>
  <c r="J51" i="84"/>
  <c r="J47" i="84"/>
  <c r="J45" i="84"/>
  <c r="J117" i="84"/>
  <c r="J82" i="84"/>
  <c r="J72" i="84"/>
  <c r="J68" i="84"/>
  <c r="J56" i="84"/>
  <c r="H43" i="84"/>
  <c r="J38" i="84"/>
  <c r="J109" i="84"/>
  <c r="J69" i="84"/>
  <c r="J64" i="84"/>
  <c r="J57" i="84"/>
  <c r="J76" i="84"/>
  <c r="J61" i="84"/>
  <c r="J52" i="84"/>
  <c r="J48" i="84"/>
  <c r="J100" i="84"/>
  <c r="J39" i="84"/>
  <c r="J98" i="84"/>
  <c r="J88" i="84"/>
  <c r="J65" i="84"/>
  <c r="J58" i="84"/>
  <c r="J116" i="84"/>
  <c r="J96" i="84"/>
  <c r="J94" i="84"/>
  <c r="J74" i="84"/>
  <c r="J59" i="84"/>
  <c r="Z56" i="84"/>
  <c r="X67" i="84"/>
  <c r="Z67" i="84" s="1"/>
  <c r="Z86" i="84"/>
  <c r="J22" i="79"/>
  <c r="J24" i="79"/>
  <c r="J26" i="79"/>
  <c r="J30" i="79"/>
  <c r="J34" i="79"/>
  <c r="F39" i="79"/>
  <c r="F43" i="79"/>
  <c r="F50" i="79"/>
  <c r="F51" i="79"/>
  <c r="J52" i="79"/>
  <c r="F67" i="79"/>
  <c r="F74" i="79"/>
  <c r="F75" i="79"/>
  <c r="V17" i="80"/>
  <c r="V19" i="80"/>
  <c r="V21" i="80"/>
  <c r="V49" i="80"/>
  <c r="V57" i="80"/>
  <c r="V65" i="80"/>
  <c r="V31" i="82"/>
  <c r="V18" i="82"/>
  <c r="V32" i="82"/>
  <c r="V28" i="82"/>
  <c r="V42" i="82"/>
  <c r="V38" i="82"/>
  <c r="V51" i="82"/>
  <c r="V20" i="82"/>
  <c r="V43" i="82"/>
  <c r="V39" i="82"/>
  <c r="V35" i="82"/>
  <c r="V44" i="82"/>
  <c r="V40" i="82"/>
  <c r="V36" i="82"/>
  <c r="V33" i="82"/>
  <c r="R17" i="83"/>
  <c r="Z23" i="83"/>
  <c r="Z33" i="83"/>
  <c r="L63" i="83"/>
  <c r="F69" i="83"/>
  <c r="N80" i="83"/>
  <c r="F92" i="83"/>
  <c r="X45" i="84"/>
  <c r="Z45" i="84" s="1"/>
  <c r="V20" i="85"/>
  <c r="T28" i="85"/>
  <c r="F20" i="79"/>
  <c r="F59" i="79"/>
  <c r="F60" i="79"/>
  <c r="J75" i="79"/>
  <c r="V50" i="80"/>
  <c r="V58" i="80"/>
  <c r="V62" i="80"/>
  <c r="R72" i="83"/>
  <c r="R71" i="83"/>
  <c r="R48" i="83"/>
  <c r="R47" i="83"/>
  <c r="R31" i="83"/>
  <c r="R27" i="83"/>
  <c r="R86" i="83"/>
  <c r="R78" i="83"/>
  <c r="R66" i="83"/>
  <c r="R59" i="83"/>
  <c r="R58" i="83"/>
  <c r="R18" i="83"/>
  <c r="R90" i="83"/>
  <c r="R88" i="83"/>
  <c r="R74" i="83"/>
  <c r="R73" i="83"/>
  <c r="R61" i="83"/>
  <c r="R60" i="83"/>
  <c r="R33" i="83"/>
  <c r="R32" i="83"/>
  <c r="R28" i="83"/>
  <c r="R80" i="83"/>
  <c r="R79" i="83"/>
  <c r="R75" i="83"/>
  <c r="R68" i="83"/>
  <c r="R67" i="83"/>
  <c r="R51" i="83"/>
  <c r="R24" i="83"/>
  <c r="R19" i="83"/>
  <c r="R92" i="83"/>
  <c r="R63" i="83"/>
  <c r="R62" i="83"/>
  <c r="R42" i="83"/>
  <c r="R38" i="83"/>
  <c r="R34" i="83"/>
  <c r="R23" i="83"/>
  <c r="R21" i="83"/>
  <c r="R97" i="83"/>
  <c r="R94" i="83"/>
  <c r="R81" i="83"/>
  <c r="R69" i="83"/>
  <c r="R29" i="83"/>
  <c r="R25" i="83"/>
  <c r="P21" i="83"/>
  <c r="R76" i="83"/>
  <c r="R64" i="83"/>
  <c r="R53" i="83"/>
  <c r="R52" i="83"/>
  <c r="X12" i="83"/>
  <c r="Z12" i="83" s="1"/>
  <c r="R44" i="83"/>
  <c r="R43" i="83"/>
  <c r="R39" i="83"/>
  <c r="R35" i="83"/>
  <c r="R16" i="83"/>
  <c r="R85" i="83"/>
  <c r="R84" i="83"/>
  <c r="R57" i="83"/>
  <c r="R56" i="83"/>
  <c r="R40" i="83"/>
  <c r="R36" i="83"/>
  <c r="R82" i="83"/>
  <c r="L84" i="76"/>
  <c r="N84" i="76" s="1"/>
  <c r="J20" i="79"/>
  <c r="L25" i="79"/>
  <c r="N25" i="79" s="1"/>
  <c r="F29" i="79"/>
  <c r="F33" i="79"/>
  <c r="F48" i="79"/>
  <c r="F49" i="79"/>
  <c r="J50" i="79"/>
  <c r="J60" i="79"/>
  <c r="F72" i="79"/>
  <c r="F73" i="79"/>
  <c r="J74" i="79"/>
  <c r="X22" i="80"/>
  <c r="V31" i="80"/>
  <c r="V35" i="80"/>
  <c r="V39" i="80"/>
  <c r="L44" i="80"/>
  <c r="V47" i="80"/>
  <c r="X50" i="80"/>
  <c r="X58" i="80"/>
  <c r="V63" i="80"/>
  <c r="J23" i="82"/>
  <c r="V90" i="83"/>
  <c r="F34" i="83"/>
  <c r="R55" i="83"/>
  <c r="J63" i="83"/>
  <c r="N35" i="84"/>
  <c r="J70" i="84"/>
  <c r="L12" i="79"/>
  <c r="N12" i="79" s="1"/>
  <c r="J29" i="79"/>
  <c r="J33" i="79"/>
  <c r="F38" i="79"/>
  <c r="F42" i="79"/>
  <c r="J49" i="79"/>
  <c r="F58" i="79"/>
  <c r="J59" i="79"/>
  <c r="F65" i="79"/>
  <c r="F66" i="79"/>
  <c r="J73" i="79"/>
  <c r="V16" i="80"/>
  <c r="V48" i="80"/>
  <c r="V56" i="80"/>
  <c r="J27" i="82"/>
  <c r="J35" i="82"/>
  <c r="L24" i="83"/>
  <c r="N24" i="83" s="1"/>
  <c r="Z57" i="83"/>
  <c r="R65" i="83"/>
  <c r="J35" i="84"/>
  <c r="J62" i="84"/>
  <c r="F19" i="79"/>
  <c r="J38" i="79"/>
  <c r="J42" i="79"/>
  <c r="F46" i="79"/>
  <c r="F47" i="79"/>
  <c r="J48" i="79"/>
  <c r="J58" i="79"/>
  <c r="J66" i="79"/>
  <c r="V25" i="80"/>
  <c r="V29" i="80"/>
  <c r="V45" i="80"/>
  <c r="V25" i="82"/>
  <c r="V30" i="82"/>
  <c r="J37" i="82"/>
  <c r="F97" i="83"/>
  <c r="F94" i="83"/>
  <c r="F43" i="83"/>
  <c r="F39" i="83"/>
  <c r="F35" i="83"/>
  <c r="D21" i="83"/>
  <c r="F82" i="83"/>
  <c r="F70" i="83"/>
  <c r="F54" i="83"/>
  <c r="F53" i="83"/>
  <c r="F30" i="83"/>
  <c r="F26" i="83"/>
  <c r="F77" i="83"/>
  <c r="F65" i="83"/>
  <c r="F84" i="83"/>
  <c r="F83" i="83"/>
  <c r="F56" i="83"/>
  <c r="F55" i="83"/>
  <c r="F40" i="83"/>
  <c r="F36" i="83"/>
  <c r="F71" i="83"/>
  <c r="F47" i="83"/>
  <c r="F46" i="83"/>
  <c r="F31" i="83"/>
  <c r="F27" i="83"/>
  <c r="F86" i="83"/>
  <c r="F85" i="83"/>
  <c r="F78" i="83"/>
  <c r="F66" i="83"/>
  <c r="F58" i="83"/>
  <c r="F57" i="83"/>
  <c r="F18" i="83"/>
  <c r="F73" i="83"/>
  <c r="F72" i="83"/>
  <c r="F49" i="83"/>
  <c r="F48" i="83"/>
  <c r="F41" i="83"/>
  <c r="F37" i="83"/>
  <c r="F60" i="83"/>
  <c r="F59" i="83"/>
  <c r="F32" i="83"/>
  <c r="F28" i="83"/>
  <c r="F90" i="83"/>
  <c r="F88" i="83"/>
  <c r="F79" i="83"/>
  <c r="F75" i="83"/>
  <c r="F74" i="83"/>
  <c r="F67" i="83"/>
  <c r="F51" i="83"/>
  <c r="F50" i="83"/>
  <c r="F19" i="83"/>
  <c r="F76" i="83"/>
  <c r="F64" i="83"/>
  <c r="F63" i="83"/>
  <c r="F52" i="83"/>
  <c r="F23" i="83"/>
  <c r="F21" i="83"/>
  <c r="L12" i="83"/>
  <c r="N12" i="83" s="1"/>
  <c r="H90" i="83"/>
  <c r="J90" i="83" s="1"/>
  <c r="F24" i="83"/>
  <c r="P12" i="84"/>
  <c r="N77" i="84"/>
  <c r="J35" i="83"/>
  <c r="J39" i="83"/>
  <c r="J43" i="83"/>
  <c r="V47" i="83"/>
  <c r="J53" i="83"/>
  <c r="N55" i="83"/>
  <c r="V59" i="83"/>
  <c r="Z61" i="83"/>
  <c r="V71" i="83"/>
  <c r="N83" i="83"/>
  <c r="D12" i="84"/>
  <c r="V47" i="84"/>
  <c r="V51" i="84"/>
  <c r="V55" i="84"/>
  <c r="V60" i="84"/>
  <c r="V78" i="84"/>
  <c r="V90" i="84"/>
  <c r="V92" i="84"/>
  <c r="N101" i="84"/>
  <c r="N108" i="84"/>
  <c r="L108" i="84"/>
  <c r="N22" i="85"/>
  <c r="Z23" i="87"/>
  <c r="X23" i="87"/>
  <c r="J24" i="83"/>
  <c r="V26" i="83"/>
  <c r="V30" i="83"/>
  <c r="J34" i="83"/>
  <c r="J38" i="83"/>
  <c r="J42" i="83"/>
  <c r="V46" i="83"/>
  <c r="V54" i="83"/>
  <c r="J62" i="83"/>
  <c r="J68" i="83"/>
  <c r="V70" i="83"/>
  <c r="J80" i="83"/>
  <c r="V82" i="83"/>
  <c r="J92" i="83"/>
  <c r="V46" i="84"/>
  <c r="V50" i="84"/>
  <c r="V54" i="84"/>
  <c r="V66" i="84"/>
  <c r="Z71" i="84"/>
  <c r="V96" i="84"/>
  <c r="V116" i="84"/>
  <c r="H85" i="92"/>
  <c r="R76" i="93"/>
  <c r="R53" i="93"/>
  <c r="R52" i="93"/>
  <c r="R28" i="93"/>
  <c r="R24" i="93"/>
  <c r="R80" i="93"/>
  <c r="R78" i="93"/>
  <c r="R60" i="93"/>
  <c r="R59" i="93"/>
  <c r="R70" i="93"/>
  <c r="R66" i="93"/>
  <c r="R55" i="93"/>
  <c r="R54" i="93"/>
  <c r="R43" i="93"/>
  <c r="R42" i="93"/>
  <c r="R38" i="93"/>
  <c r="R34" i="93"/>
  <c r="R61" i="93"/>
  <c r="R29" i="93"/>
  <c r="R25" i="93"/>
  <c r="R82" i="93"/>
  <c r="R56" i="93"/>
  <c r="R45" i="93"/>
  <c r="R44" i="93"/>
  <c r="X12" i="93"/>
  <c r="R87" i="93"/>
  <c r="R84" i="93"/>
  <c r="R72" i="93"/>
  <c r="R71" i="93"/>
  <c r="R67" i="93"/>
  <c r="R39" i="93"/>
  <c r="R35" i="93"/>
  <c r="R63" i="93"/>
  <c r="R62" i="93"/>
  <c r="R47" i="93"/>
  <c r="R46" i="93"/>
  <c r="R30" i="93"/>
  <c r="R26" i="93"/>
  <c r="R73" i="93"/>
  <c r="R57" i="93"/>
  <c r="R22" i="93"/>
  <c r="R17" i="93"/>
  <c r="R68" i="93"/>
  <c r="R64" i="93"/>
  <c r="R49" i="93"/>
  <c r="R48" i="93"/>
  <c r="R40" i="93"/>
  <c r="R36" i="93"/>
  <c r="R21" i="93"/>
  <c r="R19" i="93"/>
  <c r="R69" i="93"/>
  <c r="R65" i="93"/>
  <c r="R41" i="93"/>
  <c r="R37" i="93"/>
  <c r="R33" i="93"/>
  <c r="R32" i="93"/>
  <c r="R58" i="93"/>
  <c r="R50" i="93"/>
  <c r="R74" i="93"/>
  <c r="P19" i="93"/>
  <c r="R16" i="93"/>
  <c r="R51" i="93"/>
  <c r="R75" i="93"/>
  <c r="R31" i="93"/>
  <c r="R27" i="93"/>
  <c r="R23" i="93"/>
  <c r="L16" i="93"/>
  <c r="N16" i="93"/>
  <c r="J19" i="83"/>
  <c r="J33" i="83"/>
  <c r="V35" i="83"/>
  <c r="V39" i="83"/>
  <c r="V43" i="83"/>
  <c r="J51" i="83"/>
  <c r="V55" i="83"/>
  <c r="J61" i="83"/>
  <c r="J67" i="83"/>
  <c r="J75" i="83"/>
  <c r="J79" i="83"/>
  <c r="V83" i="83"/>
  <c r="V59" i="84"/>
  <c r="V71" i="84"/>
  <c r="V74" i="84"/>
  <c r="V94" i="84"/>
  <c r="V101" i="84"/>
  <c r="J56" i="87"/>
  <c r="P32" i="88"/>
  <c r="J28" i="83"/>
  <c r="J32" i="83"/>
  <c r="V44" i="83"/>
  <c r="J50" i="83"/>
  <c r="V52" i="83"/>
  <c r="J60" i="83"/>
  <c r="V64" i="83"/>
  <c r="J74" i="83"/>
  <c r="V76" i="83"/>
  <c r="J88" i="83"/>
  <c r="V95" i="84"/>
  <c r="V87" i="84"/>
  <c r="V79" i="84"/>
  <c r="V67" i="84"/>
  <c r="V114" i="84"/>
  <c r="V106" i="84"/>
  <c r="V102" i="84"/>
  <c r="V89" i="84"/>
  <c r="V69" i="84"/>
  <c r="V115" i="84"/>
  <c r="V107" i="84"/>
  <c r="V103" i="84"/>
  <c r="V91" i="84"/>
  <c r="V98" i="84"/>
  <c r="V119" i="84"/>
  <c r="V117" i="84"/>
  <c r="V109" i="84"/>
  <c r="V97" i="84"/>
  <c r="V81" i="84"/>
  <c r="V73" i="84"/>
  <c r="V104" i="84"/>
  <c r="V111" i="84"/>
  <c r="V99" i="84"/>
  <c r="V112" i="84"/>
  <c r="V36" i="84"/>
  <c r="V40" i="84"/>
  <c r="V62" i="84"/>
  <c r="N69" i="84"/>
  <c r="V70" i="84"/>
  <c r="V77" i="84"/>
  <c r="V80" i="84"/>
  <c r="Z94" i="84"/>
  <c r="N21" i="88"/>
  <c r="V25" i="83"/>
  <c r="V29" i="83"/>
  <c r="J37" i="83"/>
  <c r="J41" i="83"/>
  <c r="J49" i="83"/>
  <c r="V53" i="83"/>
  <c r="J59" i="83"/>
  <c r="V69" i="83"/>
  <c r="J73" i="83"/>
  <c r="V81" i="83"/>
  <c r="V49" i="84"/>
  <c r="V53" i="84"/>
  <c r="N111" i="84"/>
  <c r="L111" i="84"/>
  <c r="R16" i="85"/>
  <c r="R17" i="85"/>
  <c r="R23" i="85"/>
  <c r="R18" i="85"/>
  <c r="R22" i="85"/>
  <c r="R24" i="85"/>
  <c r="P20" i="85"/>
  <c r="R20" i="85" s="1"/>
  <c r="R26" i="85"/>
  <c r="R30" i="85"/>
  <c r="X12" i="85"/>
  <c r="Z12" i="85" s="1"/>
  <c r="J82" i="87"/>
  <c r="J76" i="87"/>
  <c r="J72" i="87"/>
  <c r="J58" i="87"/>
  <c r="J48" i="87"/>
  <c r="J40" i="87"/>
  <c r="J36" i="87"/>
  <c r="J83" i="87"/>
  <c r="J59" i="87"/>
  <c r="J31" i="87"/>
  <c r="J27" i="87"/>
  <c r="J84" i="87"/>
  <c r="J66" i="87"/>
  <c r="J32" i="87"/>
  <c r="J18" i="87"/>
  <c r="J85" i="87"/>
  <c r="J77" i="87"/>
  <c r="J73" i="87"/>
  <c r="J49" i="87"/>
  <c r="J41" i="87"/>
  <c r="J37" i="87"/>
  <c r="J33" i="87"/>
  <c r="J23" i="87"/>
  <c r="J86" i="87"/>
  <c r="J60" i="87"/>
  <c r="J50" i="87"/>
  <c r="J28" i="87"/>
  <c r="J24" i="87"/>
  <c r="J22" i="87"/>
  <c r="J20" i="87"/>
  <c r="J87" i="87"/>
  <c r="J67" i="87"/>
  <c r="J61" i="87"/>
  <c r="J51" i="87"/>
  <c r="H20" i="87"/>
  <c r="J78" i="87"/>
  <c r="J74" i="87"/>
  <c r="J68" i="87"/>
  <c r="J62" i="87"/>
  <c r="J52" i="87"/>
  <c r="J42" i="87"/>
  <c r="J38" i="87"/>
  <c r="J34" i="87"/>
  <c r="J91" i="87"/>
  <c r="J89" i="87"/>
  <c r="J69" i="87"/>
  <c r="J63" i="87"/>
  <c r="J53" i="87"/>
  <c r="J43" i="87"/>
  <c r="J29" i="87"/>
  <c r="J25" i="87"/>
  <c r="J70" i="87"/>
  <c r="J64" i="87"/>
  <c r="J54" i="87"/>
  <c r="J44" i="87"/>
  <c r="N12" i="87"/>
  <c r="J98" i="87"/>
  <c r="J95" i="87"/>
  <c r="J81" i="87"/>
  <c r="J65" i="87"/>
  <c r="J57" i="87"/>
  <c r="J47" i="87"/>
  <c r="J17" i="87"/>
  <c r="X21" i="88"/>
  <c r="Z21" i="88" s="1"/>
  <c r="V38" i="83"/>
  <c r="V42" i="83"/>
  <c r="J48" i="83"/>
  <c r="X53" i="83"/>
  <c r="Z53" i="83" s="1"/>
  <c r="J58" i="83"/>
  <c r="L59" i="83"/>
  <c r="N59" i="83" s="1"/>
  <c r="V62" i="83"/>
  <c r="J66" i="83"/>
  <c r="J72" i="83"/>
  <c r="J78" i="83"/>
  <c r="J86" i="83"/>
  <c r="V92" i="83"/>
  <c r="V94" i="83"/>
  <c r="V58" i="84"/>
  <c r="V65" i="84"/>
  <c r="V84" i="84"/>
  <c r="V93" i="84"/>
  <c r="V100" i="84"/>
  <c r="X111" i="84"/>
  <c r="X14" i="85"/>
  <c r="H35" i="85"/>
  <c r="J35" i="85" s="1"/>
  <c r="L12" i="87"/>
  <c r="X84" i="87"/>
  <c r="L13" i="83"/>
  <c r="N13" i="83" s="1"/>
  <c r="V19" i="83"/>
  <c r="V21" i="83"/>
  <c r="V23" i="83"/>
  <c r="J27" i="83"/>
  <c r="J31" i="83"/>
  <c r="J47" i="83"/>
  <c r="V51" i="83"/>
  <c r="J57" i="83"/>
  <c r="V63" i="83"/>
  <c r="V67" i="83"/>
  <c r="J71" i="83"/>
  <c r="V75" i="83"/>
  <c r="V79" i="83"/>
  <c r="J85" i="83"/>
  <c r="V35" i="84"/>
  <c r="V39" i="84"/>
  <c r="V76" i="84"/>
  <c r="V83" i="84"/>
  <c r="V88" i="84"/>
  <c r="V123" i="84"/>
  <c r="N23" i="85"/>
  <c r="L23" i="85"/>
  <c r="T95" i="87"/>
  <c r="J55" i="87"/>
  <c r="J79" i="87"/>
  <c r="D22" i="89"/>
  <c r="L16" i="89"/>
  <c r="H89" i="91"/>
  <c r="J84" i="83"/>
  <c r="V61" i="84"/>
  <c r="Z73" i="84"/>
  <c r="J23" i="85"/>
  <c r="J46" i="87"/>
  <c r="J75" i="87"/>
  <c r="J17" i="83"/>
  <c r="V33" i="83"/>
  <c r="V37" i="83"/>
  <c r="V41" i="83"/>
  <c r="J45" i="83"/>
  <c r="V49" i="83"/>
  <c r="J55" i="83"/>
  <c r="V61" i="83"/>
  <c r="J65" i="83"/>
  <c r="V73" i="83"/>
  <c r="J77" i="83"/>
  <c r="J83" i="83"/>
  <c r="V57" i="84"/>
  <c r="V64" i="84"/>
  <c r="Z69" i="84"/>
  <c r="V113" i="84"/>
  <c r="N16" i="85"/>
  <c r="J35" i="87"/>
  <c r="J71" i="87"/>
  <c r="J16" i="83"/>
  <c r="J26" i="83"/>
  <c r="J30" i="83"/>
  <c r="J44" i="83"/>
  <c r="V50" i="83"/>
  <c r="J54" i="83"/>
  <c r="V58" i="83"/>
  <c r="V66" i="83"/>
  <c r="J70" i="83"/>
  <c r="V74" i="83"/>
  <c r="V78" i="83"/>
  <c r="V86" i="83"/>
  <c r="V88" i="83"/>
  <c r="V38" i="84"/>
  <c r="V68" i="84"/>
  <c r="V72" i="84"/>
  <c r="V105" i="84"/>
  <c r="N116" i="84"/>
  <c r="L116" i="84"/>
  <c r="F22" i="85"/>
  <c r="F20" i="85"/>
  <c r="D20" i="85"/>
  <c r="F26" i="85"/>
  <c r="F17" i="85"/>
  <c r="F16" i="85"/>
  <c r="F24" i="85"/>
  <c r="F23" i="85"/>
  <c r="J39" i="87"/>
  <c r="F26" i="87"/>
  <c r="F30" i="87"/>
  <c r="F45" i="87"/>
  <c r="F46" i="87"/>
  <c r="V61" i="87"/>
  <c r="V73" i="87"/>
  <c r="V77" i="87"/>
  <c r="V85" i="87"/>
  <c r="V22" i="88"/>
  <c r="J30" i="88"/>
  <c r="J32" i="88"/>
  <c r="R36" i="88"/>
  <c r="R39" i="88"/>
  <c r="V22" i="89"/>
  <c r="V20" i="89"/>
  <c r="V18" i="89"/>
  <c r="Z74" i="91"/>
  <c r="X83" i="91"/>
  <c r="P81" i="91"/>
  <c r="X81" i="91" s="1"/>
  <c r="Z16" i="85"/>
  <c r="Z20" i="87"/>
  <c r="F25" i="87"/>
  <c r="F29" i="87"/>
  <c r="F52" i="87"/>
  <c r="F53" i="87"/>
  <c r="F68" i="87"/>
  <c r="F69" i="87"/>
  <c r="V72" i="87"/>
  <c r="V76" i="87"/>
  <c r="V84" i="87"/>
  <c r="T16" i="88"/>
  <c r="X16" i="88" s="1"/>
  <c r="R19" i="88"/>
  <c r="J27" i="88"/>
  <c r="Z16" i="91"/>
  <c r="F30" i="91"/>
  <c r="F32" i="91"/>
  <c r="F52" i="91"/>
  <c r="F67" i="91"/>
  <c r="F79" i="91"/>
  <c r="D20" i="87"/>
  <c r="F34" i="87"/>
  <c r="F38" i="87"/>
  <c r="F42" i="87"/>
  <c r="V57" i="87"/>
  <c r="F61" i="87"/>
  <c r="F62" i="87"/>
  <c r="V65" i="87"/>
  <c r="F74" i="87"/>
  <c r="F78" i="87"/>
  <c r="V81" i="87"/>
  <c r="V14" i="88"/>
  <c r="V16" i="88"/>
  <c r="V18" i="88"/>
  <c r="J26" i="88"/>
  <c r="R30" i="88"/>
  <c r="R32" i="88"/>
  <c r="H16" i="89"/>
  <c r="F23" i="91"/>
  <c r="T78" i="92"/>
  <c r="Z18" i="92"/>
  <c r="V24" i="85"/>
  <c r="V26" i="85"/>
  <c r="F20" i="87"/>
  <c r="F22" i="87"/>
  <c r="V26" i="87"/>
  <c r="V30" i="87"/>
  <c r="V46" i="87"/>
  <c r="F50" i="87"/>
  <c r="F51" i="87"/>
  <c r="V58" i="87"/>
  <c r="F67" i="87"/>
  <c r="V82" i="87"/>
  <c r="F86" i="87"/>
  <c r="F87" i="87"/>
  <c r="X12" i="88"/>
  <c r="V19" i="88"/>
  <c r="F23" i="88"/>
  <c r="F24" i="88"/>
  <c r="J25" i="88"/>
  <c r="R28" i="88"/>
  <c r="V24" i="89"/>
  <c r="N14" i="91"/>
  <c r="Z48" i="92"/>
  <c r="X48" i="92"/>
  <c r="L19" i="97"/>
  <c r="F23" i="87"/>
  <c r="F24" i="87"/>
  <c r="F28" i="87"/>
  <c r="V35" i="87"/>
  <c r="V39" i="87"/>
  <c r="V47" i="87"/>
  <c r="V55" i="87"/>
  <c r="F60" i="87"/>
  <c r="V71" i="87"/>
  <c r="V75" i="87"/>
  <c r="V79" i="87"/>
  <c r="V93" i="87"/>
  <c r="V95" i="87"/>
  <c r="V98" i="87"/>
  <c r="Z12" i="88"/>
  <c r="J24" i="88"/>
  <c r="V28" i="88"/>
  <c r="V30" i="88"/>
  <c r="V32" i="88"/>
  <c r="F36" i="88"/>
  <c r="F39" i="88"/>
  <c r="F27" i="91"/>
  <c r="L43" i="92"/>
  <c r="N34" i="94"/>
  <c r="L34" i="94"/>
  <c r="J16" i="85"/>
  <c r="V22" i="85"/>
  <c r="J32" i="85"/>
  <c r="F32" i="87"/>
  <c r="F33" i="87"/>
  <c r="F37" i="87"/>
  <c r="F41" i="87"/>
  <c r="V44" i="87"/>
  <c r="F49" i="87"/>
  <c r="V56" i="87"/>
  <c r="V64" i="87"/>
  <c r="F73" i="87"/>
  <c r="F77" i="87"/>
  <c r="V80" i="87"/>
  <c r="F84" i="87"/>
  <c r="F85" i="87"/>
  <c r="D16" i="88"/>
  <c r="F21" i="88"/>
  <c r="F22" i="88"/>
  <c r="J23" i="88"/>
  <c r="R26" i="88"/>
  <c r="R27" i="88"/>
  <c r="F22" i="89"/>
  <c r="F20" i="89"/>
  <c r="F29" i="89"/>
  <c r="F26" i="89"/>
  <c r="P16" i="89"/>
  <c r="D12" i="92"/>
  <c r="L13" i="92"/>
  <c r="N20" i="92"/>
  <c r="F66" i="87"/>
  <c r="J22" i="89"/>
  <c r="J20" i="89"/>
  <c r="J18" i="89"/>
  <c r="J16" i="89"/>
  <c r="J14" i="89"/>
  <c r="J24" i="89"/>
  <c r="F82" i="91"/>
  <c r="F61" i="91"/>
  <c r="F45" i="91"/>
  <c r="F44" i="91"/>
  <c r="F37" i="91"/>
  <c r="F33" i="91"/>
  <c r="F83" i="91"/>
  <c r="F81" i="91"/>
  <c r="F72" i="91"/>
  <c r="F68" i="91"/>
  <c r="F56" i="91"/>
  <c r="F55" i="91"/>
  <c r="F28" i="91"/>
  <c r="F24" i="91"/>
  <c r="F20" i="91"/>
  <c r="F19" i="91"/>
  <c r="F18" i="91"/>
  <c r="F16" i="91"/>
  <c r="F14" i="91"/>
  <c r="F85" i="91"/>
  <c r="F62" i="91"/>
  <c r="F46" i="91"/>
  <c r="F38" i="91"/>
  <c r="F87" i="91"/>
  <c r="F73" i="91"/>
  <c r="F69" i="91"/>
  <c r="F57" i="91"/>
  <c r="F25" i="91"/>
  <c r="F21" i="91"/>
  <c r="F48" i="91"/>
  <c r="F47" i="91"/>
  <c r="F75" i="91"/>
  <c r="F74" i="91"/>
  <c r="F63" i="91"/>
  <c r="F39" i="91"/>
  <c r="F35" i="91"/>
  <c r="F31" i="91"/>
  <c r="F92" i="91"/>
  <c r="F89" i="91"/>
  <c r="F70" i="91"/>
  <c r="F58" i="91"/>
  <c r="F50" i="91"/>
  <c r="F49" i="91"/>
  <c r="F26" i="91"/>
  <c r="F22" i="91"/>
  <c r="F77" i="91"/>
  <c r="F76" i="91"/>
  <c r="F65" i="91"/>
  <c r="F64" i="91"/>
  <c r="F41" i="91"/>
  <c r="F40" i="91"/>
  <c r="F54" i="91"/>
  <c r="F53" i="91"/>
  <c r="T89" i="91"/>
  <c r="F29" i="91"/>
  <c r="N56" i="95"/>
  <c r="L56" i="95"/>
  <c r="J30" i="85"/>
  <c r="F27" i="87"/>
  <c r="F31" i="87"/>
  <c r="V34" i="87"/>
  <c r="V38" i="87"/>
  <c r="V42" i="87"/>
  <c r="V54" i="87"/>
  <c r="F58" i="87"/>
  <c r="F59" i="87"/>
  <c r="V62" i="87"/>
  <c r="V70" i="87"/>
  <c r="V74" i="87"/>
  <c r="V78" i="87"/>
  <c r="F82" i="87"/>
  <c r="F83" i="87"/>
  <c r="H16" i="88"/>
  <c r="F19" i="88"/>
  <c r="F20" i="88"/>
  <c r="J21" i="88"/>
  <c r="R24" i="88"/>
  <c r="R25" i="88"/>
  <c r="V27" i="88"/>
  <c r="F34" i="88"/>
  <c r="L12" i="89"/>
  <c r="T16" i="89"/>
  <c r="J26" i="89"/>
  <c r="V29" i="89"/>
  <c r="J83" i="91"/>
  <c r="J72" i="91"/>
  <c r="J68" i="91"/>
  <c r="J56" i="91"/>
  <c r="J28" i="91"/>
  <c r="J24" i="91"/>
  <c r="J20" i="91"/>
  <c r="J18" i="91"/>
  <c r="J16" i="91"/>
  <c r="J14" i="91"/>
  <c r="J85" i="91"/>
  <c r="J29" i="91"/>
  <c r="J62" i="91"/>
  <c r="J46" i="91"/>
  <c r="J38" i="91"/>
  <c r="J34" i="91"/>
  <c r="J30" i="91"/>
  <c r="J87" i="91"/>
  <c r="J73" i="91"/>
  <c r="J69" i="91"/>
  <c r="J57" i="91"/>
  <c r="J47" i="91"/>
  <c r="J74" i="91"/>
  <c r="J48" i="91"/>
  <c r="J92" i="91"/>
  <c r="J89" i="91"/>
  <c r="J75" i="91"/>
  <c r="J63" i="91"/>
  <c r="J49" i="91"/>
  <c r="J39" i="91"/>
  <c r="J35" i="91"/>
  <c r="J31" i="91"/>
  <c r="J76" i="91"/>
  <c r="J70" i="91"/>
  <c r="J64" i="91"/>
  <c r="J58" i="91"/>
  <c r="J50" i="91"/>
  <c r="J40" i="91"/>
  <c r="J26" i="91"/>
  <c r="J22" i="91"/>
  <c r="J77" i="91"/>
  <c r="J65" i="91"/>
  <c r="J59" i="91"/>
  <c r="J51" i="91"/>
  <c r="J41" i="91"/>
  <c r="J78" i="91"/>
  <c r="J66" i="91"/>
  <c r="J60" i="91"/>
  <c r="J52" i="91"/>
  <c r="J42" i="91"/>
  <c r="J36" i="91"/>
  <c r="J32" i="91"/>
  <c r="N12" i="91"/>
  <c r="J82" i="91"/>
  <c r="J81" i="91"/>
  <c r="J61" i="91"/>
  <c r="J55" i="91"/>
  <c r="J45" i="91"/>
  <c r="J37" i="91"/>
  <c r="J33" i="91"/>
  <c r="F51" i="91"/>
  <c r="F59" i="91"/>
  <c r="L66" i="91"/>
  <c r="L78" i="91"/>
  <c r="R74" i="92"/>
  <c r="R62" i="92"/>
  <c r="R78" i="92"/>
  <c r="R76" i="92"/>
  <c r="R64" i="92"/>
  <c r="R63" i="92"/>
  <c r="R80" i="92"/>
  <c r="R59" i="92"/>
  <c r="R58" i="92"/>
  <c r="R60" i="92"/>
  <c r="R66" i="92"/>
  <c r="R73" i="92"/>
  <c r="R26" i="92"/>
  <c r="R22" i="92"/>
  <c r="P18" i="92"/>
  <c r="X12" i="92"/>
  <c r="R70" i="92"/>
  <c r="R56" i="92"/>
  <c r="R50" i="92"/>
  <c r="R49" i="92"/>
  <c r="R67" i="92"/>
  <c r="R41" i="92"/>
  <c r="R40" i="92"/>
  <c r="R36" i="92"/>
  <c r="R32" i="92"/>
  <c r="R82" i="92"/>
  <c r="R52" i="92"/>
  <c r="R51" i="92"/>
  <c r="R27" i="92"/>
  <c r="R23" i="92"/>
  <c r="R71" i="92"/>
  <c r="R65" i="92"/>
  <c r="R57" i="92"/>
  <c r="R43" i="92"/>
  <c r="R42" i="92"/>
  <c r="R53" i="92"/>
  <c r="R37" i="92"/>
  <c r="R33" i="92"/>
  <c r="R68" i="92"/>
  <c r="R54" i="92"/>
  <c r="R45" i="92"/>
  <c r="R44" i="92"/>
  <c r="R28" i="92"/>
  <c r="R24" i="92"/>
  <c r="R46" i="92"/>
  <c r="R38" i="92"/>
  <c r="R34" i="92"/>
  <c r="R15" i="92"/>
  <c r="R69" i="92"/>
  <c r="R48" i="92"/>
  <c r="R47" i="92"/>
  <c r="R39" i="92"/>
  <c r="R35" i="92"/>
  <c r="R31" i="92"/>
  <c r="R20" i="92"/>
  <c r="R18" i="92"/>
  <c r="J56" i="95"/>
  <c r="F36" i="87"/>
  <c r="F40" i="87"/>
  <c r="V43" i="87"/>
  <c r="F47" i="87"/>
  <c r="F48" i="87"/>
  <c r="V51" i="87"/>
  <c r="X54" i="87"/>
  <c r="V63" i="87"/>
  <c r="V67" i="87"/>
  <c r="F72" i="87"/>
  <c r="F76" i="87"/>
  <c r="V87" i="87"/>
  <c r="V89" i="87"/>
  <c r="V91" i="87"/>
  <c r="F95" i="87"/>
  <c r="F98" i="87"/>
  <c r="J14" i="88"/>
  <c r="J16" i="88"/>
  <c r="J18" i="88"/>
  <c r="J20" i="88"/>
  <c r="V24" i="88"/>
  <c r="F30" i="88"/>
  <c r="J34" i="88"/>
  <c r="N12" i="89"/>
  <c r="V16" i="89"/>
  <c r="L12" i="91"/>
  <c r="D16" i="91"/>
  <c r="L53" i="91"/>
  <c r="N53" i="91" s="1"/>
  <c r="N59" i="91"/>
  <c r="F66" i="91"/>
  <c r="F78" i="91"/>
  <c r="X20" i="92"/>
  <c r="Z20" i="92" s="1"/>
  <c r="J26" i="85"/>
  <c r="F16" i="87"/>
  <c r="F17" i="87"/>
  <c r="V24" i="87"/>
  <c r="V28" i="87"/>
  <c r="V52" i="87"/>
  <c r="F56" i="87"/>
  <c r="F57" i="87"/>
  <c r="V60" i="87"/>
  <c r="F65" i="87"/>
  <c r="F80" i="87"/>
  <c r="R22" i="88"/>
  <c r="R29" i="89"/>
  <c r="R26" i="89"/>
  <c r="V14" i="89"/>
  <c r="Z47" i="91"/>
  <c r="X47" i="91"/>
  <c r="N78" i="91"/>
  <c r="R61" i="92"/>
  <c r="R30" i="91"/>
  <c r="R34" i="91"/>
  <c r="R38" i="91"/>
  <c r="R46" i="91"/>
  <c r="R47" i="91"/>
  <c r="V49" i="91"/>
  <c r="V57" i="91"/>
  <c r="R62" i="91"/>
  <c r="V69" i="91"/>
  <c r="V73" i="91"/>
  <c r="V87" i="91"/>
  <c r="V89" i="91"/>
  <c r="V92" i="91"/>
  <c r="J46" i="92"/>
  <c r="V50" i="92"/>
  <c r="J58" i="92"/>
  <c r="V59" i="92"/>
  <c r="X64" i="92"/>
  <c r="J85" i="92"/>
  <c r="F67" i="93"/>
  <c r="F106" i="95"/>
  <c r="F103" i="95"/>
  <c r="F92" i="95"/>
  <c r="F91" i="95"/>
  <c r="F84" i="95"/>
  <c r="F80" i="95"/>
  <c r="F68" i="95"/>
  <c r="F48" i="95"/>
  <c r="F47" i="95"/>
  <c r="F20" i="95"/>
  <c r="F59" i="95"/>
  <c r="F58" i="95"/>
  <c r="F43" i="95"/>
  <c r="F39" i="95"/>
  <c r="F93" i="95"/>
  <c r="F85" i="95"/>
  <c r="F81" i="95"/>
  <c r="F61" i="95"/>
  <c r="F60" i="95"/>
  <c r="F21" i="95"/>
  <c r="F76" i="95"/>
  <c r="F75" i="95"/>
  <c r="F52" i="95"/>
  <c r="F51" i="95"/>
  <c r="F44" i="95"/>
  <c r="F40" i="95"/>
  <c r="F95" i="95"/>
  <c r="F94" i="95"/>
  <c r="F87" i="95"/>
  <c r="F86" i="95"/>
  <c r="F71" i="95"/>
  <c r="F63" i="95"/>
  <c r="F62" i="95"/>
  <c r="F35" i="95"/>
  <c r="F31" i="95"/>
  <c r="F27" i="95"/>
  <c r="F26" i="95"/>
  <c r="F82" i="95"/>
  <c r="F78" i="95"/>
  <c r="F77" i="95"/>
  <c r="F54" i="95"/>
  <c r="F53" i="95"/>
  <c r="F25" i="95"/>
  <c r="F23" i="95"/>
  <c r="F65" i="95"/>
  <c r="F64" i="95"/>
  <c r="F45" i="95"/>
  <c r="F41" i="95"/>
  <c r="F37" i="95"/>
  <c r="F36" i="95"/>
  <c r="F99" i="95"/>
  <c r="F97" i="95"/>
  <c r="F88" i="95"/>
  <c r="F72" i="95"/>
  <c r="F32" i="95"/>
  <c r="F28" i="95"/>
  <c r="L12" i="95"/>
  <c r="N12" i="95" s="1"/>
  <c r="F73" i="95"/>
  <c r="F57" i="95"/>
  <c r="F56" i="95"/>
  <c r="F33" i="95"/>
  <c r="F29" i="95"/>
  <c r="F70" i="95"/>
  <c r="F38" i="95"/>
  <c r="F30" i="95"/>
  <c r="F89" i="95"/>
  <c r="F50" i="95"/>
  <c r="F34" i="95"/>
  <c r="F18" i="95"/>
  <c r="F74" i="95"/>
  <c r="F42" i="95"/>
  <c r="F55" i="95"/>
  <c r="F67" i="95"/>
  <c r="F46" i="95"/>
  <c r="F79" i="95"/>
  <c r="F69" i="95"/>
  <c r="F19" i="95"/>
  <c r="F90" i="95"/>
  <c r="F66" i="95"/>
  <c r="D23" i="95"/>
  <c r="F101" i="95"/>
  <c r="R16" i="91"/>
  <c r="R18" i="91"/>
  <c r="V24" i="91"/>
  <c r="V28" i="91"/>
  <c r="R33" i="91"/>
  <c r="R37" i="91"/>
  <c r="R45" i="91"/>
  <c r="V56" i="91"/>
  <c r="R61" i="91"/>
  <c r="V68" i="91"/>
  <c r="V72" i="91"/>
  <c r="R83" i="91"/>
  <c r="J33" i="92"/>
  <c r="J37" i="92"/>
  <c r="J43" i="92"/>
  <c r="J53" i="92"/>
  <c r="V55" i="92"/>
  <c r="V63" i="92"/>
  <c r="V72" i="92"/>
  <c r="H103" i="95"/>
  <c r="F54" i="97"/>
  <c r="F53" i="97"/>
  <c r="F77" i="97"/>
  <c r="F76" i="97"/>
  <c r="F61" i="97"/>
  <c r="F45" i="97"/>
  <c r="F44" i="97"/>
  <c r="F92" i="97"/>
  <c r="F89" i="97"/>
  <c r="F72" i="97"/>
  <c r="F68" i="97"/>
  <c r="F56" i="97"/>
  <c r="F55" i="97"/>
  <c r="F78" i="97"/>
  <c r="F73" i="97"/>
  <c r="F69" i="97"/>
  <c r="F57" i="97"/>
  <c r="F80" i="97"/>
  <c r="F79" i="97"/>
  <c r="F64" i="97"/>
  <c r="F48" i="97"/>
  <c r="F83" i="97"/>
  <c r="F74" i="97"/>
  <c r="F87" i="97"/>
  <c r="F75" i="97"/>
  <c r="F59" i="97"/>
  <c r="F50" i="97"/>
  <c r="F42" i="97"/>
  <c r="F67" i="97"/>
  <c r="F47" i="97"/>
  <c r="F43" i="97"/>
  <c r="F38" i="97"/>
  <c r="F34" i="97"/>
  <c r="F62" i="97"/>
  <c r="F51" i="97"/>
  <c r="F29" i="97"/>
  <c r="F25" i="97"/>
  <c r="F85" i="97"/>
  <c r="F82" i="97"/>
  <c r="L12" i="97"/>
  <c r="F65" i="97"/>
  <c r="F39" i="97"/>
  <c r="F35" i="97"/>
  <c r="F70" i="97"/>
  <c r="F60" i="97"/>
  <c r="F52" i="97"/>
  <c r="F30" i="97"/>
  <c r="F26" i="97"/>
  <c r="F63" i="97"/>
  <c r="F17" i="97"/>
  <c r="F16" i="97"/>
  <c r="F40" i="97"/>
  <c r="F36" i="97"/>
  <c r="F32" i="97"/>
  <c r="F31" i="97"/>
  <c r="F27" i="97"/>
  <c r="F23" i="97"/>
  <c r="F22" i="97"/>
  <c r="F28" i="97"/>
  <c r="F24" i="97"/>
  <c r="F37" i="97"/>
  <c r="F21" i="97"/>
  <c r="F49" i="97"/>
  <c r="F33" i="97"/>
  <c r="F71" i="97"/>
  <c r="F66" i="97"/>
  <c r="F41" i="97"/>
  <c r="F19" i="97"/>
  <c r="N46" i="99"/>
  <c r="R19" i="91"/>
  <c r="V29" i="91"/>
  <c r="V33" i="91"/>
  <c r="V37" i="91"/>
  <c r="V45" i="91"/>
  <c r="R54" i="91"/>
  <c r="R55" i="91"/>
  <c r="V61" i="91"/>
  <c r="R81" i="91"/>
  <c r="R82" i="91"/>
  <c r="V83" i="91"/>
  <c r="V85" i="91"/>
  <c r="V30" i="92"/>
  <c r="V34" i="92"/>
  <c r="V38" i="92"/>
  <c r="J42" i="92"/>
  <c r="V46" i="92"/>
  <c r="J52" i="92"/>
  <c r="J60" i="92"/>
  <c r="J71" i="92"/>
  <c r="Z49" i="93"/>
  <c r="L72" i="93"/>
  <c r="F75" i="94"/>
  <c r="F74" i="94"/>
  <c r="F81" i="94"/>
  <c r="F54" i="94"/>
  <c r="F53" i="94"/>
  <c r="F30" i="94"/>
  <c r="F26" i="94"/>
  <c r="F77" i="94"/>
  <c r="F72" i="94"/>
  <c r="F65" i="94"/>
  <c r="F64" i="94"/>
  <c r="F56" i="94"/>
  <c r="F55" i="94"/>
  <c r="F44" i="94"/>
  <c r="F40" i="94"/>
  <c r="F36" i="94"/>
  <c r="F83" i="94"/>
  <c r="F73" i="94"/>
  <c r="F67" i="94"/>
  <c r="F66" i="94"/>
  <c r="F31" i="94"/>
  <c r="F27" i="94"/>
  <c r="F79" i="94"/>
  <c r="F58" i="94"/>
  <c r="F57" i="94"/>
  <c r="F46" i="94"/>
  <c r="F45" i="94"/>
  <c r="F18" i="94"/>
  <c r="F17" i="94"/>
  <c r="F41" i="94"/>
  <c r="F37" i="94"/>
  <c r="F68" i="94"/>
  <c r="F48" i="94"/>
  <c r="F47" i="94"/>
  <c r="F32" i="94"/>
  <c r="F28" i="94"/>
  <c r="F86" i="94"/>
  <c r="F59" i="94"/>
  <c r="F19" i="94"/>
  <c r="F50" i="94"/>
  <c r="F49" i="94"/>
  <c r="F42" i="94"/>
  <c r="F38" i="94"/>
  <c r="L12" i="94"/>
  <c r="F71" i="94"/>
  <c r="F70" i="94"/>
  <c r="F63" i="94"/>
  <c r="F62" i="94"/>
  <c r="F43" i="94"/>
  <c r="F39" i="94"/>
  <c r="F35" i="94"/>
  <c r="F34" i="94"/>
  <c r="D21" i="94"/>
  <c r="F24" i="94"/>
  <c r="R36" i="94"/>
  <c r="N62" i="94"/>
  <c r="L62" i="94"/>
  <c r="V14" i="91"/>
  <c r="V16" i="91"/>
  <c r="V18" i="91"/>
  <c r="R23" i="91"/>
  <c r="R27" i="91"/>
  <c r="R43" i="91"/>
  <c r="R44" i="91"/>
  <c r="V54" i="91"/>
  <c r="R67" i="91"/>
  <c r="R71" i="91"/>
  <c r="R79" i="91"/>
  <c r="V82" i="91"/>
  <c r="J27" i="92"/>
  <c r="J41" i="92"/>
  <c r="V74" i="92"/>
  <c r="J75" i="94"/>
  <c r="J65" i="94"/>
  <c r="J55" i="94"/>
  <c r="J83" i="94"/>
  <c r="J66" i="94"/>
  <c r="J56" i="94"/>
  <c r="J44" i="94"/>
  <c r="J40" i="94"/>
  <c r="J36" i="94"/>
  <c r="J79" i="94"/>
  <c r="J73" i="94"/>
  <c r="J67" i="94"/>
  <c r="J57" i="94"/>
  <c r="J45" i="94"/>
  <c r="J31" i="94"/>
  <c r="J27" i="94"/>
  <c r="J17" i="94"/>
  <c r="J58" i="94"/>
  <c r="J46" i="94"/>
  <c r="J18" i="94"/>
  <c r="J74" i="94"/>
  <c r="J47" i="94"/>
  <c r="J41" i="94"/>
  <c r="J37" i="94"/>
  <c r="J86" i="94"/>
  <c r="J68" i="94"/>
  <c r="J48" i="94"/>
  <c r="J32" i="94"/>
  <c r="J28" i="94"/>
  <c r="J59" i="94"/>
  <c r="J49" i="94"/>
  <c r="J19" i="94"/>
  <c r="J60" i="94"/>
  <c r="J50" i="94"/>
  <c r="J42" i="94"/>
  <c r="J38" i="94"/>
  <c r="J24" i="94"/>
  <c r="N12" i="94"/>
  <c r="J81" i="94"/>
  <c r="J69" i="94"/>
  <c r="J61" i="94"/>
  <c r="J51" i="94"/>
  <c r="J33" i="94"/>
  <c r="J29" i="94"/>
  <c r="J25" i="94"/>
  <c r="J23" i="94"/>
  <c r="J21" i="94"/>
  <c r="J77" i="94"/>
  <c r="J72" i="94"/>
  <c r="J64" i="94"/>
  <c r="J54" i="94"/>
  <c r="J30" i="94"/>
  <c r="J26" i="94"/>
  <c r="J62" i="94"/>
  <c r="F58" i="97"/>
  <c r="X12" i="91"/>
  <c r="V19" i="91"/>
  <c r="V23" i="91"/>
  <c r="V27" i="91"/>
  <c r="R32" i="91"/>
  <c r="R36" i="91"/>
  <c r="V43" i="91"/>
  <c r="R52" i="91"/>
  <c r="R53" i="91"/>
  <c r="V55" i="91"/>
  <c r="R60" i="91"/>
  <c r="V67" i="91"/>
  <c r="V71" i="91"/>
  <c r="V79" i="91"/>
  <c r="V81" i="91"/>
  <c r="J61" i="92"/>
  <c r="J72" i="92"/>
  <c r="J74" i="92"/>
  <c r="J62" i="92"/>
  <c r="J63" i="92"/>
  <c r="J57" i="92"/>
  <c r="J69" i="92"/>
  <c r="J65" i="92"/>
  <c r="J59" i="92"/>
  <c r="X13" i="92"/>
  <c r="V24" i="92"/>
  <c r="V28" i="92"/>
  <c r="J32" i="92"/>
  <c r="J36" i="92"/>
  <c r="J40" i="92"/>
  <c r="V44" i="92"/>
  <c r="J50" i="92"/>
  <c r="J67" i="92"/>
  <c r="J78" i="92"/>
  <c r="J82" i="92"/>
  <c r="F68" i="93"/>
  <c r="F64" i="93"/>
  <c r="F63" i="93"/>
  <c r="F48" i="93"/>
  <c r="F47" i="93"/>
  <c r="F40" i="93"/>
  <c r="F36" i="93"/>
  <c r="F31" i="93"/>
  <c r="F27" i="93"/>
  <c r="F23" i="93"/>
  <c r="F22" i="93"/>
  <c r="F74" i="93"/>
  <c r="F58" i="93"/>
  <c r="F50" i="93"/>
  <c r="F49" i="93"/>
  <c r="F21" i="93"/>
  <c r="F19" i="93"/>
  <c r="F69" i="93"/>
  <c r="F65" i="93"/>
  <c r="F41" i="93"/>
  <c r="F37" i="93"/>
  <c r="F33" i="93"/>
  <c r="F32" i="93"/>
  <c r="D19" i="93"/>
  <c r="F76" i="93"/>
  <c r="F75" i="93"/>
  <c r="F52" i="93"/>
  <c r="F51" i="93"/>
  <c r="F28" i="93"/>
  <c r="F24" i="93"/>
  <c r="F59" i="93"/>
  <c r="F70" i="93"/>
  <c r="F66" i="93"/>
  <c r="F54" i="93"/>
  <c r="F53" i="93"/>
  <c r="F42" i="93"/>
  <c r="F38" i="93"/>
  <c r="F34" i="93"/>
  <c r="F80" i="93"/>
  <c r="F78" i="93"/>
  <c r="F61" i="93"/>
  <c r="F60" i="93"/>
  <c r="F29" i="93"/>
  <c r="F25" i="93"/>
  <c r="F82" i="93"/>
  <c r="F56" i="93"/>
  <c r="F55" i="93"/>
  <c r="F44" i="93"/>
  <c r="F43" i="93"/>
  <c r="L12" i="93"/>
  <c r="F87" i="93"/>
  <c r="F84" i="93"/>
  <c r="F73" i="93"/>
  <c r="F72" i="93"/>
  <c r="F57" i="93"/>
  <c r="F26" i="93"/>
  <c r="F30" i="93"/>
  <c r="F62" i="93"/>
  <c r="J43" i="94"/>
  <c r="F51" i="94"/>
  <c r="V32" i="91"/>
  <c r="V36" i="91"/>
  <c r="R41" i="91"/>
  <c r="R42" i="91"/>
  <c r="V44" i="91"/>
  <c r="V52" i="91"/>
  <c r="V60" i="91"/>
  <c r="R65" i="91"/>
  <c r="R66" i="91"/>
  <c r="R77" i="91"/>
  <c r="R78" i="91"/>
  <c r="V33" i="92"/>
  <c r="V37" i="92"/>
  <c r="V45" i="92"/>
  <c r="J49" i="92"/>
  <c r="V54" i="92"/>
  <c r="J56" i="92"/>
  <c r="V60" i="92"/>
  <c r="J70" i="92"/>
  <c r="J49" i="93"/>
  <c r="J31" i="93"/>
  <c r="J27" i="93"/>
  <c r="J23" i="93"/>
  <c r="J21" i="93"/>
  <c r="J19" i="93"/>
  <c r="J74" i="93"/>
  <c r="J58" i="93"/>
  <c r="J50" i="93"/>
  <c r="J32" i="93"/>
  <c r="H19" i="93"/>
  <c r="J75" i="93"/>
  <c r="J69" i="93"/>
  <c r="J65" i="93"/>
  <c r="J51" i="93"/>
  <c r="J41" i="93"/>
  <c r="J37" i="93"/>
  <c r="J33" i="93"/>
  <c r="J76" i="93"/>
  <c r="J52" i="93"/>
  <c r="J28" i="93"/>
  <c r="J24" i="93"/>
  <c r="J59" i="93"/>
  <c r="J53" i="93"/>
  <c r="J80" i="93"/>
  <c r="J78" i="93"/>
  <c r="J70" i="93"/>
  <c r="J66" i="93"/>
  <c r="J60" i="93"/>
  <c r="J54" i="93"/>
  <c r="J42" i="93"/>
  <c r="J38" i="93"/>
  <c r="J34" i="93"/>
  <c r="J61" i="93"/>
  <c r="J55" i="93"/>
  <c r="J43" i="93"/>
  <c r="J29" i="93"/>
  <c r="J25" i="93"/>
  <c r="J82" i="93"/>
  <c r="J56" i="93"/>
  <c r="J44" i="93"/>
  <c r="J71" i="93"/>
  <c r="J67" i="93"/>
  <c r="J45" i="93"/>
  <c r="J39" i="93"/>
  <c r="J35" i="93"/>
  <c r="J68" i="93"/>
  <c r="J64" i="93"/>
  <c r="J48" i="93"/>
  <c r="J40" i="93"/>
  <c r="J36" i="93"/>
  <c r="J26" i="93"/>
  <c r="J30" i="93"/>
  <c r="J62" i="93"/>
  <c r="F21" i="94"/>
  <c r="F33" i="94"/>
  <c r="J39" i="94"/>
  <c r="N49" i="94"/>
  <c r="N70" i="94"/>
  <c r="L70" i="94"/>
  <c r="N62" i="95"/>
  <c r="F46" i="97"/>
  <c r="R50" i="91"/>
  <c r="R51" i="91"/>
  <c r="V53" i="91"/>
  <c r="R58" i="91"/>
  <c r="R59" i="91"/>
  <c r="V65" i="91"/>
  <c r="R70" i="91"/>
  <c r="V77" i="91"/>
  <c r="V62" i="92"/>
  <c r="V78" i="92"/>
  <c r="H79" i="94"/>
  <c r="N21" i="94"/>
  <c r="J70" i="94"/>
  <c r="V22" i="91"/>
  <c r="V26" i="91"/>
  <c r="R31" i="91"/>
  <c r="R35" i="91"/>
  <c r="R39" i="91"/>
  <c r="R40" i="91"/>
  <c r="V42" i="91"/>
  <c r="V50" i="91"/>
  <c r="V58" i="91"/>
  <c r="R63" i="91"/>
  <c r="R64" i="91"/>
  <c r="V66" i="91"/>
  <c r="V70" i="91"/>
  <c r="R75" i="91"/>
  <c r="R76" i="91"/>
  <c r="V78" i="91"/>
  <c r="J21" i="92"/>
  <c r="V23" i="92"/>
  <c r="V27" i="92"/>
  <c r="J31" i="92"/>
  <c r="J35" i="92"/>
  <c r="J39" i="92"/>
  <c r="V43" i="92"/>
  <c r="J47" i="92"/>
  <c r="X57" i="92"/>
  <c r="J73" i="92"/>
  <c r="V59" i="93"/>
  <c r="V55" i="93"/>
  <c r="V43" i="93"/>
  <c r="V70" i="93"/>
  <c r="V66" i="93"/>
  <c r="V54" i="93"/>
  <c r="V42" i="93"/>
  <c r="V38" i="93"/>
  <c r="V34" i="93"/>
  <c r="V61" i="93"/>
  <c r="V45" i="93"/>
  <c r="V29" i="93"/>
  <c r="V25" i="93"/>
  <c r="V87" i="93"/>
  <c r="V84" i="93"/>
  <c r="V82" i="93"/>
  <c r="V72" i="93"/>
  <c r="V56" i="93"/>
  <c r="V44" i="93"/>
  <c r="V16" i="93"/>
  <c r="Z12" i="93"/>
  <c r="V71" i="93"/>
  <c r="V67" i="93"/>
  <c r="V63" i="93"/>
  <c r="V47" i="93"/>
  <c r="V39" i="93"/>
  <c r="V35" i="93"/>
  <c r="V62" i="93"/>
  <c r="V46" i="93"/>
  <c r="V30" i="93"/>
  <c r="V26" i="93"/>
  <c r="V73" i="93"/>
  <c r="V57" i="93"/>
  <c r="V49" i="93"/>
  <c r="V21" i="93"/>
  <c r="V19" i="93"/>
  <c r="V17" i="93"/>
  <c r="V68" i="93"/>
  <c r="V64" i="93"/>
  <c r="V48" i="93"/>
  <c r="V40" i="93"/>
  <c r="V36" i="93"/>
  <c r="V32" i="93"/>
  <c r="T19" i="93"/>
  <c r="V75" i="93"/>
  <c r="V51" i="93"/>
  <c r="V31" i="93"/>
  <c r="V27" i="93"/>
  <c r="V23" i="93"/>
  <c r="V80" i="93"/>
  <c r="V78" i="93"/>
  <c r="V76" i="93"/>
  <c r="V60" i="93"/>
  <c r="V52" i="93"/>
  <c r="V24" i="93"/>
  <c r="V28" i="93"/>
  <c r="V50" i="93"/>
  <c r="V58" i="93"/>
  <c r="L23" i="94"/>
  <c r="F29" i="94"/>
  <c r="F61" i="94"/>
  <c r="F49" i="95"/>
  <c r="F83" i="95"/>
  <c r="V31" i="91"/>
  <c r="V35" i="91"/>
  <c r="V39" i="91"/>
  <c r="X42" i="91"/>
  <c r="R48" i="91"/>
  <c r="R49" i="91"/>
  <c r="V51" i="91"/>
  <c r="V59" i="91"/>
  <c r="V63" i="91"/>
  <c r="V75" i="91"/>
  <c r="R89" i="91"/>
  <c r="R92" i="91"/>
  <c r="V57" i="92"/>
  <c r="V68" i="92"/>
  <c r="V64" i="92"/>
  <c r="V85" i="92"/>
  <c r="V82" i="92"/>
  <c r="V80" i="92"/>
  <c r="V70" i="92"/>
  <c r="V58" i="92"/>
  <c r="V69" i="92"/>
  <c r="V65" i="92"/>
  <c r="V71" i="92"/>
  <c r="V73" i="92"/>
  <c r="V61" i="92"/>
  <c r="V53" i="92"/>
  <c r="J16" i="92"/>
  <c r="N18" i="92"/>
  <c r="L21" i="92"/>
  <c r="J30" i="92"/>
  <c r="V32" i="92"/>
  <c r="V36" i="92"/>
  <c r="V40" i="92"/>
  <c r="X43" i="92"/>
  <c r="V52" i="92"/>
  <c r="J64" i="92"/>
  <c r="V67" i="92"/>
  <c r="F17" i="93"/>
  <c r="L45" i="93"/>
  <c r="F71" i="93"/>
  <c r="R75" i="94"/>
  <c r="R81" i="94"/>
  <c r="R72" i="94"/>
  <c r="R74" i="94"/>
  <c r="R58" i="94"/>
  <c r="R47" i="94"/>
  <c r="R46" i="94"/>
  <c r="R18" i="94"/>
  <c r="R41" i="94"/>
  <c r="R37" i="94"/>
  <c r="R68" i="94"/>
  <c r="R49" i="94"/>
  <c r="R48" i="94"/>
  <c r="R32" i="94"/>
  <c r="R28" i="94"/>
  <c r="R60" i="94"/>
  <c r="R59" i="94"/>
  <c r="R24" i="94"/>
  <c r="R19" i="94"/>
  <c r="R51" i="94"/>
  <c r="R50" i="94"/>
  <c r="R42" i="94"/>
  <c r="R38" i="94"/>
  <c r="R23" i="94"/>
  <c r="R21" i="94"/>
  <c r="X12" i="94"/>
  <c r="R70" i="94"/>
  <c r="R69" i="94"/>
  <c r="R62" i="94"/>
  <c r="R61" i="94"/>
  <c r="R34" i="94"/>
  <c r="R33" i="94"/>
  <c r="R29" i="94"/>
  <c r="R25" i="94"/>
  <c r="P21" i="94"/>
  <c r="R53" i="94"/>
  <c r="R52" i="94"/>
  <c r="R71" i="94"/>
  <c r="R64" i="94"/>
  <c r="R63" i="94"/>
  <c r="R43" i="94"/>
  <c r="R39" i="94"/>
  <c r="R35" i="94"/>
  <c r="R55" i="94"/>
  <c r="R54" i="94"/>
  <c r="R30" i="94"/>
  <c r="R26" i="94"/>
  <c r="R73" i="94"/>
  <c r="R67" i="94"/>
  <c r="R31" i="94"/>
  <c r="R27" i="94"/>
  <c r="F23" i="94"/>
  <c r="R45" i="94"/>
  <c r="J63" i="94"/>
  <c r="R21" i="91"/>
  <c r="R25" i="91"/>
  <c r="V40" i="91"/>
  <c r="V48" i="91"/>
  <c r="R57" i="91"/>
  <c r="V64" i="91"/>
  <c r="R69" i="91"/>
  <c r="R73" i="91"/>
  <c r="R74" i="91"/>
  <c r="J25" i="92"/>
  <c r="J29" i="92"/>
  <c r="V41" i="92"/>
  <c r="V49" i="92"/>
  <c r="J55" i="92"/>
  <c r="V56" i="92"/>
  <c r="J66" i="92"/>
  <c r="J76" i="92"/>
  <c r="J80" i="92"/>
  <c r="F45" i="93"/>
  <c r="J73" i="93"/>
  <c r="J84" i="93"/>
  <c r="N23" i="94"/>
  <c r="F25" i="94"/>
  <c r="F52" i="94"/>
  <c r="X57" i="94"/>
  <c r="R77" i="94"/>
  <c r="V46" i="94"/>
  <c r="V58" i="94"/>
  <c r="V79" i="94"/>
  <c r="X18" i="95"/>
  <c r="Z18" i="95" s="1"/>
  <c r="V34" i="95"/>
  <c r="R50" i="95"/>
  <c r="L60" i="95"/>
  <c r="R78" i="95"/>
  <c r="N51" i="99"/>
  <c r="V17" i="94"/>
  <c r="V45" i="94"/>
  <c r="V57" i="94"/>
  <c r="V65" i="94"/>
  <c r="J69" i="95"/>
  <c r="J59" i="95"/>
  <c r="J49" i="95"/>
  <c r="J43" i="95"/>
  <c r="J39" i="95"/>
  <c r="J74" i="95"/>
  <c r="J70" i="95"/>
  <c r="J60" i="95"/>
  <c r="J50" i="95"/>
  <c r="J34" i="95"/>
  <c r="J30" i="95"/>
  <c r="J94" i="95"/>
  <c r="J86" i="95"/>
  <c r="J76" i="95"/>
  <c r="J62" i="95"/>
  <c r="J52" i="95"/>
  <c r="J44" i="95"/>
  <c r="J40" i="95"/>
  <c r="J26" i="95"/>
  <c r="J95" i="95"/>
  <c r="J87" i="95"/>
  <c r="J77" i="95"/>
  <c r="J71" i="95"/>
  <c r="J63" i="95"/>
  <c r="J53" i="95"/>
  <c r="J35" i="95"/>
  <c r="J31" i="95"/>
  <c r="J27" i="95"/>
  <c r="J25" i="95"/>
  <c r="J23" i="95"/>
  <c r="J82" i="95"/>
  <c r="J78" i="95"/>
  <c r="J64" i="95"/>
  <c r="J54" i="95"/>
  <c r="J36" i="95"/>
  <c r="J99" i="95"/>
  <c r="J97" i="95"/>
  <c r="J65" i="95"/>
  <c r="J45" i="95"/>
  <c r="J41" i="95"/>
  <c r="J37" i="95"/>
  <c r="J88" i="95"/>
  <c r="J72" i="95"/>
  <c r="J66" i="95"/>
  <c r="J32" i="95"/>
  <c r="J28" i="95"/>
  <c r="J101" i="95"/>
  <c r="J89" i="95"/>
  <c r="J83" i="95"/>
  <c r="J79" i="95"/>
  <c r="J67" i="95"/>
  <c r="J55" i="95"/>
  <c r="J19" i="95"/>
  <c r="J92" i="95"/>
  <c r="J84" i="95"/>
  <c r="J80" i="95"/>
  <c r="J68" i="95"/>
  <c r="J58" i="95"/>
  <c r="J48" i="95"/>
  <c r="T23" i="95"/>
  <c r="N26" i="95"/>
  <c r="R60" i="95"/>
  <c r="Z66" i="95"/>
  <c r="V70" i="95"/>
  <c r="J73" i="95"/>
  <c r="R79" i="97"/>
  <c r="R78" i="97"/>
  <c r="R73" i="97"/>
  <c r="R69" i="97"/>
  <c r="R57" i="97"/>
  <c r="R80" i="97"/>
  <c r="R65" i="97"/>
  <c r="R64" i="97"/>
  <c r="R85" i="97"/>
  <c r="R74" i="97"/>
  <c r="R70" i="97"/>
  <c r="R66" i="97"/>
  <c r="R59" i="97"/>
  <c r="R58" i="97"/>
  <c r="R60" i="97"/>
  <c r="R53" i="97"/>
  <c r="R52" i="97"/>
  <c r="R87" i="97"/>
  <c r="R76" i="97"/>
  <c r="R75" i="97"/>
  <c r="R92" i="97"/>
  <c r="R89" i="97"/>
  <c r="R82" i="97"/>
  <c r="R55" i="97"/>
  <c r="R39" i="97"/>
  <c r="R35" i="97"/>
  <c r="R16" i="97"/>
  <c r="R31" i="97"/>
  <c r="R30" i="97"/>
  <c r="R26" i="97"/>
  <c r="R48" i="97"/>
  <c r="R22" i="97"/>
  <c r="R17" i="97"/>
  <c r="R77" i="97"/>
  <c r="R68" i="97"/>
  <c r="R63" i="97"/>
  <c r="R45" i="97"/>
  <c r="R40" i="97"/>
  <c r="R36" i="97"/>
  <c r="R32" i="97"/>
  <c r="R21" i="97"/>
  <c r="R19" i="97"/>
  <c r="R27" i="97"/>
  <c r="R23" i="97"/>
  <c r="P19" i="97"/>
  <c r="R83" i="97"/>
  <c r="R71" i="97"/>
  <c r="R49" i="97"/>
  <c r="R46" i="97"/>
  <c r="R42" i="97"/>
  <c r="R41" i="97"/>
  <c r="R37" i="97"/>
  <c r="R33" i="97"/>
  <c r="R56" i="97"/>
  <c r="R28" i="97"/>
  <c r="R24" i="97"/>
  <c r="R61" i="97"/>
  <c r="R50" i="97"/>
  <c r="R72" i="97"/>
  <c r="X12" i="97"/>
  <c r="H89" i="97"/>
  <c r="R29" i="97"/>
  <c r="R34" i="97"/>
  <c r="V26" i="94"/>
  <c r="V30" i="94"/>
  <c r="V54" i="94"/>
  <c r="V66" i="94"/>
  <c r="V77" i="94"/>
  <c r="V23" i="95"/>
  <c r="V41" i="95"/>
  <c r="Z56" i="95"/>
  <c r="Z62" i="95"/>
  <c r="X62" i="95"/>
  <c r="V81" i="95"/>
  <c r="J90" i="95"/>
  <c r="V35" i="94"/>
  <c r="V39" i="94"/>
  <c r="V43" i="94"/>
  <c r="V55" i="94"/>
  <c r="V63" i="94"/>
  <c r="V71" i="94"/>
  <c r="R77" i="95"/>
  <c r="R76" i="95"/>
  <c r="R53" i="95"/>
  <c r="R52" i="95"/>
  <c r="R44" i="95"/>
  <c r="R40" i="95"/>
  <c r="R25" i="95"/>
  <c r="R23" i="95"/>
  <c r="R95" i="95"/>
  <c r="R87" i="95"/>
  <c r="R71" i="95"/>
  <c r="R64" i="95"/>
  <c r="R63" i="95"/>
  <c r="R36" i="95"/>
  <c r="R35" i="95"/>
  <c r="R31" i="95"/>
  <c r="R27" i="95"/>
  <c r="P23" i="95"/>
  <c r="R66" i="95"/>
  <c r="R65" i="95"/>
  <c r="R45" i="95"/>
  <c r="R41" i="95"/>
  <c r="R37" i="95"/>
  <c r="R18" i="95"/>
  <c r="R89" i="95"/>
  <c r="R88" i="95"/>
  <c r="R72" i="95"/>
  <c r="R32" i="95"/>
  <c r="R28" i="95"/>
  <c r="X12" i="95"/>
  <c r="R101" i="95"/>
  <c r="R83" i="95"/>
  <c r="R79" i="95"/>
  <c r="R67" i="95"/>
  <c r="R56" i="95"/>
  <c r="R55" i="95"/>
  <c r="R91" i="95"/>
  <c r="R90" i="95"/>
  <c r="R47" i="95"/>
  <c r="R46" i="95"/>
  <c r="R42" i="95"/>
  <c r="R38" i="95"/>
  <c r="R73" i="95"/>
  <c r="R58" i="95"/>
  <c r="R57" i="95"/>
  <c r="R33" i="95"/>
  <c r="R29" i="95"/>
  <c r="R92" i="95"/>
  <c r="R84" i="95"/>
  <c r="R80" i="95"/>
  <c r="R69" i="95"/>
  <c r="R68" i="95"/>
  <c r="R49" i="95"/>
  <c r="R48" i="95"/>
  <c r="R20" i="95"/>
  <c r="R94" i="95"/>
  <c r="R93" i="95"/>
  <c r="R86" i="95"/>
  <c r="R85" i="95"/>
  <c r="R81" i="95"/>
  <c r="R62" i="95"/>
  <c r="R61" i="95"/>
  <c r="R26" i="95"/>
  <c r="J75" i="95"/>
  <c r="T89" i="97"/>
  <c r="F45" i="102"/>
  <c r="F44" i="102"/>
  <c r="F37" i="102"/>
  <c r="F33" i="102"/>
  <c r="F52" i="102"/>
  <c r="F51" i="102"/>
  <c r="F28" i="102"/>
  <c r="F24" i="102"/>
  <c r="F20" i="102"/>
  <c r="F19" i="102"/>
  <c r="F54" i="102"/>
  <c r="F53" i="102"/>
  <c r="F46" i="102"/>
  <c r="F38" i="102"/>
  <c r="F34" i="102"/>
  <c r="F30" i="102"/>
  <c r="F29" i="102"/>
  <c r="D16" i="102"/>
  <c r="F25" i="102"/>
  <c r="F21" i="102"/>
  <c r="F58" i="102"/>
  <c r="F56" i="102"/>
  <c r="F47" i="102"/>
  <c r="F39" i="102"/>
  <c r="F35" i="102"/>
  <c r="F31" i="102"/>
  <c r="F60" i="102"/>
  <c r="F26" i="102"/>
  <c r="F22" i="102"/>
  <c r="F49" i="102"/>
  <c r="F48" i="102"/>
  <c r="F41" i="102"/>
  <c r="F40" i="102"/>
  <c r="F50" i="102"/>
  <c r="F42" i="102"/>
  <c r="F18" i="102"/>
  <c r="F14" i="102"/>
  <c r="F36" i="102"/>
  <c r="F32" i="102"/>
  <c r="F65" i="102"/>
  <c r="F62" i="102"/>
  <c r="F23" i="102"/>
  <c r="F16" i="102"/>
  <c r="L12" i="102"/>
  <c r="F27" i="102"/>
  <c r="F43" i="102"/>
  <c r="V86" i="94"/>
  <c r="V83" i="94"/>
  <c r="V81" i="94"/>
  <c r="V74" i="94"/>
  <c r="V52" i="94"/>
  <c r="V64" i="94"/>
  <c r="X72" i="94"/>
  <c r="V75" i="94"/>
  <c r="V97" i="95"/>
  <c r="V95" i="95"/>
  <c r="V87" i="95"/>
  <c r="V71" i="95"/>
  <c r="V63" i="95"/>
  <c r="V35" i="95"/>
  <c r="V31" i="95"/>
  <c r="V27" i="95"/>
  <c r="V82" i="95"/>
  <c r="V78" i="95"/>
  <c r="V66" i="95"/>
  <c r="V54" i="95"/>
  <c r="V18" i="95"/>
  <c r="V88" i="95"/>
  <c r="V72" i="95"/>
  <c r="V56" i="95"/>
  <c r="V32" i="95"/>
  <c r="V28" i="95"/>
  <c r="Z12" i="95"/>
  <c r="V101" i="95"/>
  <c r="V91" i="95"/>
  <c r="V83" i="95"/>
  <c r="V79" i="95"/>
  <c r="V67" i="95"/>
  <c r="V55" i="95"/>
  <c r="V47" i="95"/>
  <c r="V19" i="95"/>
  <c r="V90" i="95"/>
  <c r="V58" i="95"/>
  <c r="V46" i="95"/>
  <c r="V42" i="95"/>
  <c r="V38" i="95"/>
  <c r="V73" i="95"/>
  <c r="V69" i="95"/>
  <c r="V57" i="95"/>
  <c r="V49" i="95"/>
  <c r="V33" i="95"/>
  <c r="V29" i="95"/>
  <c r="V92" i="95"/>
  <c r="V84" i="95"/>
  <c r="V80" i="95"/>
  <c r="V68" i="95"/>
  <c r="V60" i="95"/>
  <c r="V48" i="95"/>
  <c r="V75" i="95"/>
  <c r="V59" i="95"/>
  <c r="V51" i="95"/>
  <c r="V43" i="95"/>
  <c r="V39" i="95"/>
  <c r="V76" i="95"/>
  <c r="V64" i="95"/>
  <c r="V52" i="95"/>
  <c r="V44" i="95"/>
  <c r="V40" i="95"/>
  <c r="V36" i="95"/>
  <c r="R19" i="95"/>
  <c r="Z26" i="95"/>
  <c r="X26" i="95"/>
  <c r="V37" i="95"/>
  <c r="N51" i="95"/>
  <c r="J61" i="95"/>
  <c r="J103" i="95"/>
  <c r="R20" i="98"/>
  <c r="R19" i="98"/>
  <c r="R17" i="98"/>
  <c r="R15" i="98"/>
  <c r="R21" i="98"/>
  <c r="P17" i="98"/>
  <c r="R23" i="98"/>
  <c r="X12" i="98"/>
  <c r="R27" i="98"/>
  <c r="Z34" i="101"/>
  <c r="X34" i="101"/>
  <c r="L76" i="92"/>
  <c r="X22" i="93"/>
  <c r="L60" i="93"/>
  <c r="L78" i="93"/>
  <c r="V25" i="94"/>
  <c r="V29" i="94"/>
  <c r="V33" i="94"/>
  <c r="V53" i="94"/>
  <c r="V61" i="94"/>
  <c r="V69" i="94"/>
  <c r="V26" i="95"/>
  <c r="R39" i="95"/>
  <c r="Z49" i="95"/>
  <c r="J51" i="95"/>
  <c r="J57" i="95"/>
  <c r="R75" i="95"/>
  <c r="V77" i="95"/>
  <c r="N94" i="95"/>
  <c r="R38" i="97"/>
  <c r="Z12" i="94"/>
  <c r="T21" i="94"/>
  <c r="V34" i="94"/>
  <c r="V38" i="94"/>
  <c r="V42" i="94"/>
  <c r="V50" i="94"/>
  <c r="V62" i="94"/>
  <c r="V70" i="94"/>
  <c r="R21" i="95"/>
  <c r="J42" i="95"/>
  <c r="X51" i="95"/>
  <c r="Z51" i="95" s="1"/>
  <c r="Z53" i="95"/>
  <c r="V65" i="95"/>
  <c r="Z75" i="95"/>
  <c r="Z86" i="95"/>
  <c r="X86" i="95"/>
  <c r="L89" i="95"/>
  <c r="R97" i="95"/>
  <c r="N21" i="97"/>
  <c r="R47" i="97"/>
  <c r="R67" i="97"/>
  <c r="P30" i="100"/>
  <c r="V19" i="94"/>
  <c r="V21" i="94"/>
  <c r="V23" i="94"/>
  <c r="V51" i="94"/>
  <c r="V59" i="94"/>
  <c r="V21" i="95"/>
  <c r="R51" i="95"/>
  <c r="V53" i="95"/>
  <c r="R59" i="95"/>
  <c r="V61" i="95"/>
  <c r="R82" i="95"/>
  <c r="V86" i="95"/>
  <c r="V24" i="94"/>
  <c r="V28" i="94"/>
  <c r="V32" i="94"/>
  <c r="V48" i="94"/>
  <c r="V60" i="94"/>
  <c r="V68" i="94"/>
  <c r="Z25" i="95"/>
  <c r="N36" i="95"/>
  <c r="R74" i="95"/>
  <c r="J85" i="95"/>
  <c r="Z94" i="95"/>
  <c r="X94" i="95"/>
  <c r="L53" i="97"/>
  <c r="N53" i="97" s="1"/>
  <c r="T56" i="99"/>
  <c r="Z16" i="99"/>
  <c r="V37" i="94"/>
  <c r="V41" i="94"/>
  <c r="V49" i="94"/>
  <c r="V25" i="95"/>
  <c r="R34" i="95"/>
  <c r="J38" i="95"/>
  <c r="V74" i="95"/>
  <c r="J93" i="95"/>
  <c r="V94" i="95"/>
  <c r="Z21" i="97"/>
  <c r="Z19" i="97"/>
  <c r="X62" i="97"/>
  <c r="V74" i="97"/>
  <c r="J78" i="97"/>
  <c r="V79" i="97"/>
  <c r="V14" i="101"/>
  <c r="V38" i="97"/>
  <c r="V43" i="97"/>
  <c r="V47" i="97"/>
  <c r="J53" i="97"/>
  <c r="V54" i="97"/>
  <c r="J58" i="97"/>
  <c r="X59" i="97"/>
  <c r="V62" i="97"/>
  <c r="J66" i="97"/>
  <c r="J71" i="97"/>
  <c r="V16" i="99"/>
  <c r="Z51" i="99"/>
  <c r="R25" i="101"/>
  <c r="R24" i="101"/>
  <c r="R20" i="101"/>
  <c r="P16" i="101"/>
  <c r="R35" i="101"/>
  <c r="R21" i="101"/>
  <c r="R41" i="101"/>
  <c r="R46" i="101"/>
  <c r="R43" i="101"/>
  <c r="R32" i="101"/>
  <c r="R14" i="101"/>
  <c r="R16" i="101"/>
  <c r="R28" i="101"/>
  <c r="R18" i="101"/>
  <c r="R39" i="101"/>
  <c r="R19" i="101"/>
  <c r="R29" i="101"/>
  <c r="R22" i="101"/>
  <c r="X12" i="101"/>
  <c r="R34" i="101"/>
  <c r="R31" i="101"/>
  <c r="J52" i="102"/>
  <c r="J28" i="102"/>
  <c r="J24" i="102"/>
  <c r="J20" i="102"/>
  <c r="J18" i="102"/>
  <c r="J16" i="102"/>
  <c r="J14" i="102"/>
  <c r="J53" i="102"/>
  <c r="J29" i="102"/>
  <c r="H16" i="102"/>
  <c r="J54" i="102"/>
  <c r="J46" i="102"/>
  <c r="J38" i="102"/>
  <c r="J34" i="102"/>
  <c r="J30" i="102"/>
  <c r="J25" i="102"/>
  <c r="J21" i="102"/>
  <c r="J58" i="102"/>
  <c r="J56" i="102"/>
  <c r="J47" i="102"/>
  <c r="J39" i="102"/>
  <c r="J35" i="102"/>
  <c r="J31" i="102"/>
  <c r="J60" i="102"/>
  <c r="J48" i="102"/>
  <c r="J40" i="102"/>
  <c r="J26" i="102"/>
  <c r="J22" i="102"/>
  <c r="J49" i="102"/>
  <c r="J41" i="102"/>
  <c r="J65" i="102"/>
  <c r="J62" i="102"/>
  <c r="J42" i="102"/>
  <c r="J36" i="102"/>
  <c r="J32" i="102"/>
  <c r="N12" i="102"/>
  <c r="J51" i="102"/>
  <c r="J45" i="102"/>
  <c r="J37" i="102"/>
  <c r="J33" i="102"/>
  <c r="J44" i="102"/>
  <c r="J19" i="102"/>
  <c r="J23" i="102"/>
  <c r="J50" i="102"/>
  <c r="L13" i="97"/>
  <c r="V61" i="97"/>
  <c r="X19" i="99"/>
  <c r="Z19" i="99" s="1"/>
  <c r="V39" i="101"/>
  <c r="V37" i="101"/>
  <c r="V35" i="101"/>
  <c r="V27" i="101"/>
  <c r="V28" i="101"/>
  <c r="V46" i="101"/>
  <c r="V43" i="101"/>
  <c r="V41" i="101"/>
  <c r="V32" i="101"/>
  <c r="V23" i="101"/>
  <c r="V19" i="101"/>
  <c r="V16" i="101"/>
  <c r="V18" i="101"/>
  <c r="T16" i="101"/>
  <c r="V21" i="101"/>
  <c r="V24" i="101"/>
  <c r="V29" i="101"/>
  <c r="V25" i="101"/>
  <c r="V22" i="101"/>
  <c r="Z12" i="101"/>
  <c r="V33" i="101"/>
  <c r="V30" i="101"/>
  <c r="V26" i="101"/>
  <c r="V56" i="97"/>
  <c r="F27" i="98"/>
  <c r="F21" i="98"/>
  <c r="F20" i="98"/>
  <c r="F23" i="98"/>
  <c r="L12" i="98"/>
  <c r="R24" i="99"/>
  <c r="R20" i="99"/>
  <c r="P16" i="99"/>
  <c r="R48" i="99"/>
  <c r="R47" i="99"/>
  <c r="R39" i="99"/>
  <c r="R38" i="99"/>
  <c r="R34" i="99"/>
  <c r="R30" i="99"/>
  <c r="R49" i="99"/>
  <c r="R25" i="99"/>
  <c r="R21" i="99"/>
  <c r="R52" i="99"/>
  <c r="R51" i="99"/>
  <c r="R41" i="99"/>
  <c r="R40" i="99"/>
  <c r="R53" i="99"/>
  <c r="R35" i="99"/>
  <c r="R31" i="99"/>
  <c r="R54" i="99"/>
  <c r="R42" i="99"/>
  <c r="R26" i="99"/>
  <c r="R22" i="99"/>
  <c r="R56" i="99"/>
  <c r="R36" i="99"/>
  <c r="R32" i="99"/>
  <c r="X12" i="99"/>
  <c r="R63" i="99"/>
  <c r="R60" i="99"/>
  <c r="R46" i="99"/>
  <c r="R45" i="99"/>
  <c r="R37" i="99"/>
  <c r="R33" i="99"/>
  <c r="R29" i="99"/>
  <c r="R18" i="99"/>
  <c r="R16" i="99"/>
  <c r="R14" i="99"/>
  <c r="N18" i="99"/>
  <c r="V33" i="99"/>
  <c r="Z46" i="99"/>
  <c r="X46" i="99"/>
  <c r="L52" i="99"/>
  <c r="N52" i="99" s="1"/>
  <c r="D51" i="99"/>
  <c r="L51" i="99" s="1"/>
  <c r="R23" i="101"/>
  <c r="N19" i="97"/>
  <c r="V58" i="97"/>
  <c r="L65" i="97"/>
  <c r="V66" i="97"/>
  <c r="D17" i="98"/>
  <c r="F17" i="98" s="1"/>
  <c r="V47" i="99"/>
  <c r="V39" i="99"/>
  <c r="V38" i="99"/>
  <c r="V34" i="99"/>
  <c r="V30" i="99"/>
  <c r="V51" i="99"/>
  <c r="V49" i="99"/>
  <c r="V41" i="99"/>
  <c r="V25" i="99"/>
  <c r="V21" i="99"/>
  <c r="V52" i="99"/>
  <c r="V40" i="99"/>
  <c r="V53" i="99"/>
  <c r="V35" i="99"/>
  <c r="V31" i="99"/>
  <c r="V56" i="99"/>
  <c r="V54" i="99"/>
  <c r="V42" i="99"/>
  <c r="V26" i="99"/>
  <c r="V22" i="99"/>
  <c r="V44" i="99"/>
  <c r="V36" i="99"/>
  <c r="V32" i="99"/>
  <c r="V28" i="99"/>
  <c r="Z12" i="99"/>
  <c r="V43" i="99"/>
  <c r="V27" i="99"/>
  <c r="V23" i="99"/>
  <c r="V19" i="99"/>
  <c r="V48" i="99"/>
  <c r="V24" i="99"/>
  <c r="V20" i="99"/>
  <c r="V37" i="99"/>
  <c r="N41" i="99"/>
  <c r="L41" i="99"/>
  <c r="V46" i="99"/>
  <c r="R33" i="101"/>
  <c r="J92" i="97"/>
  <c r="J89" i="97"/>
  <c r="J77" i="97"/>
  <c r="J61" i="97"/>
  <c r="J55" i="97"/>
  <c r="J45" i="97"/>
  <c r="J72" i="97"/>
  <c r="J68" i="97"/>
  <c r="J62" i="97"/>
  <c r="J56" i="97"/>
  <c r="J46" i="97"/>
  <c r="J63" i="97"/>
  <c r="J79" i="97"/>
  <c r="J73" i="97"/>
  <c r="J69" i="97"/>
  <c r="J57" i="97"/>
  <c r="J80" i="97"/>
  <c r="J64" i="97"/>
  <c r="J48" i="97"/>
  <c r="J65" i="97"/>
  <c r="J49" i="97"/>
  <c r="J83" i="97"/>
  <c r="J82" i="97"/>
  <c r="J74" i="97"/>
  <c r="J85" i="97"/>
  <c r="J76" i="97"/>
  <c r="X13" i="97"/>
  <c r="J16" i="97"/>
  <c r="J26" i="97"/>
  <c r="J30" i="97"/>
  <c r="V42" i="97"/>
  <c r="Z46" i="97"/>
  <c r="J52" i="97"/>
  <c r="J60" i="97"/>
  <c r="J70" i="97"/>
  <c r="D82" i="97"/>
  <c r="L82" i="97" s="1"/>
  <c r="N23" i="98"/>
  <c r="L23" i="98"/>
  <c r="J35" i="97"/>
  <c r="J39" i="97"/>
  <c r="V46" i="97"/>
  <c r="V53" i="97"/>
  <c r="Z18" i="99"/>
  <c r="X18" i="99"/>
  <c r="R43" i="99"/>
  <c r="V31" i="101"/>
  <c r="J43" i="102"/>
  <c r="V17" i="97"/>
  <c r="V19" i="97"/>
  <c r="V21" i="97"/>
  <c r="J25" i="97"/>
  <c r="J29" i="97"/>
  <c r="X55" i="97"/>
  <c r="F19" i="98"/>
  <c r="R28" i="99"/>
  <c r="V45" i="99"/>
  <c r="V60" i="99"/>
  <c r="V20" i="101"/>
  <c r="Z27" i="101"/>
  <c r="X27" i="101"/>
  <c r="V73" i="97"/>
  <c r="V69" i="97"/>
  <c r="V65" i="97"/>
  <c r="V57" i="97"/>
  <c r="V49" i="97"/>
  <c r="V82" i="97"/>
  <c r="V80" i="97"/>
  <c r="V64" i="97"/>
  <c r="V48" i="97"/>
  <c r="V85" i="97"/>
  <c r="V83" i="97"/>
  <c r="V59" i="97"/>
  <c r="V76" i="97"/>
  <c r="V60" i="97"/>
  <c r="V52" i="97"/>
  <c r="V44" i="97"/>
  <c r="V92" i="97"/>
  <c r="V89" i="97"/>
  <c r="V87" i="97"/>
  <c r="V75" i="97"/>
  <c r="V71" i="97"/>
  <c r="V67" i="97"/>
  <c r="V55" i="97"/>
  <c r="V77" i="97"/>
  <c r="V78" i="97"/>
  <c r="V22" i="97"/>
  <c r="V26" i="97"/>
  <c r="V30" i="97"/>
  <c r="J34" i="97"/>
  <c r="J38" i="97"/>
  <c r="J43" i="97"/>
  <c r="J47" i="97"/>
  <c r="J51" i="97"/>
  <c r="J54" i="97"/>
  <c r="J67" i="97"/>
  <c r="J87" i="97"/>
  <c r="Z14" i="99"/>
  <c r="X14" i="99"/>
  <c r="Z28" i="99"/>
  <c r="N23" i="100"/>
  <c r="L23" i="100"/>
  <c r="R30" i="101"/>
  <c r="J27" i="102"/>
  <c r="F54" i="99"/>
  <c r="V30" i="100"/>
  <c r="V28" i="100"/>
  <c r="V14" i="100"/>
  <c r="V16" i="100"/>
  <c r="V18" i="100"/>
  <c r="J26" i="100"/>
  <c r="J37" i="100"/>
  <c r="L25" i="101"/>
  <c r="L29" i="101"/>
  <c r="H17" i="98"/>
  <c r="D16" i="100"/>
  <c r="J23" i="100"/>
  <c r="V27" i="98"/>
  <c r="V29" i="98"/>
  <c r="V32" i="98"/>
  <c r="F48" i="99"/>
  <c r="F49" i="99"/>
  <c r="J22" i="100"/>
  <c r="V26" i="100"/>
  <c r="P12" i="103"/>
  <c r="X13" i="103"/>
  <c r="X25" i="103"/>
  <c r="Z25" i="103" s="1"/>
  <c r="Z12" i="98"/>
  <c r="D16" i="99"/>
  <c r="F30" i="99"/>
  <c r="F34" i="99"/>
  <c r="F38" i="99"/>
  <c r="J39" i="99"/>
  <c r="J49" i="99"/>
  <c r="H16" i="100"/>
  <c r="F19" i="100"/>
  <c r="J21" i="100"/>
  <c r="J32" i="100"/>
  <c r="V37" i="100"/>
  <c r="V25" i="103"/>
  <c r="Z60" i="107"/>
  <c r="F14" i="99"/>
  <c r="F16" i="99"/>
  <c r="F18" i="99"/>
  <c r="J30" i="99"/>
  <c r="J34" i="99"/>
  <c r="J38" i="99"/>
  <c r="F46" i="99"/>
  <c r="F47" i="99"/>
  <c r="J48" i="99"/>
  <c r="F60" i="99"/>
  <c r="F63" i="99"/>
  <c r="J14" i="100"/>
  <c r="J16" i="100"/>
  <c r="J18" i="100"/>
  <c r="J20" i="100"/>
  <c r="V24" i="100"/>
  <c r="H39" i="101"/>
  <c r="X19" i="101"/>
  <c r="D39" i="101"/>
  <c r="P16" i="102"/>
  <c r="F50" i="103"/>
  <c r="H16" i="99"/>
  <c r="F19" i="99"/>
  <c r="F20" i="99"/>
  <c r="F24" i="99"/>
  <c r="J47" i="99"/>
  <c r="F32" i="100"/>
  <c r="F37" i="100"/>
  <c r="F34" i="100"/>
  <c r="J19" i="100"/>
  <c r="V25" i="100"/>
  <c r="F30" i="100"/>
  <c r="V34" i="100"/>
  <c r="L42" i="102"/>
  <c r="N42" i="102" s="1"/>
  <c r="N44" i="102"/>
  <c r="F33" i="103"/>
  <c r="F42" i="103"/>
  <c r="N84" i="103"/>
  <c r="V22" i="100"/>
  <c r="T17" i="98"/>
  <c r="J37" i="99"/>
  <c r="J45" i="99"/>
  <c r="F58" i="99"/>
  <c r="L12" i="100"/>
  <c r="V23" i="100"/>
  <c r="J30" i="100"/>
  <c r="V32" i="100"/>
  <c r="F91" i="103"/>
  <c r="F89" i="103"/>
  <c r="F72" i="103"/>
  <c r="F93" i="103"/>
  <c r="F67" i="103"/>
  <c r="F66" i="103"/>
  <c r="F55" i="103"/>
  <c r="F54" i="103"/>
  <c r="F73" i="103"/>
  <c r="F57" i="103"/>
  <c r="F56" i="103"/>
  <c r="F98" i="103"/>
  <c r="F95" i="103"/>
  <c r="F68" i="103"/>
  <c r="F85" i="103"/>
  <c r="F84" i="103"/>
  <c r="F81" i="103"/>
  <c r="F77" i="103"/>
  <c r="F87" i="103"/>
  <c r="F43" i="103"/>
  <c r="F39" i="103"/>
  <c r="F60" i="103"/>
  <c r="F47" i="103"/>
  <c r="F34" i="103"/>
  <c r="F30" i="103"/>
  <c r="F70" i="103"/>
  <c r="F64" i="103"/>
  <c r="F52" i="103"/>
  <c r="F21" i="103"/>
  <c r="F44" i="103"/>
  <c r="F40" i="103"/>
  <c r="F83" i="103"/>
  <c r="F79" i="103"/>
  <c r="F65" i="103"/>
  <c r="F61" i="103"/>
  <c r="F53" i="103"/>
  <c r="F48" i="103"/>
  <c r="F35" i="103"/>
  <c r="F31" i="103"/>
  <c r="F27" i="103"/>
  <c r="F26" i="103"/>
  <c r="F74" i="103"/>
  <c r="F71" i="103"/>
  <c r="F25" i="103"/>
  <c r="F23" i="103"/>
  <c r="F58" i="103"/>
  <c r="F49" i="103"/>
  <c r="F45" i="103"/>
  <c r="F41" i="103"/>
  <c r="D23" i="103"/>
  <c r="F86" i="103"/>
  <c r="F36" i="103"/>
  <c r="F32" i="103"/>
  <c r="F28" i="103"/>
  <c r="L12" i="103"/>
  <c r="N12" i="103" s="1"/>
  <c r="F75" i="103"/>
  <c r="F62" i="103"/>
  <c r="F59" i="103"/>
  <c r="F19" i="103"/>
  <c r="F18" i="103"/>
  <c r="F82" i="103"/>
  <c r="F78" i="103"/>
  <c r="F63" i="103"/>
  <c r="F51" i="103"/>
  <c r="F20" i="103"/>
  <c r="V15" i="98"/>
  <c r="V17" i="98"/>
  <c r="V19" i="98"/>
  <c r="J29" i="98"/>
  <c r="F23" i="99"/>
  <c r="F27" i="99"/>
  <c r="J28" i="99"/>
  <c r="F43" i="99"/>
  <c r="J44" i="99"/>
  <c r="F56" i="99"/>
  <c r="J58" i="99"/>
  <c r="N12" i="100"/>
  <c r="R14" i="100"/>
  <c r="R16" i="100"/>
  <c r="R18" i="100"/>
  <c r="V20" i="100"/>
  <c r="F46" i="101"/>
  <c r="F43" i="101"/>
  <c r="F32" i="101"/>
  <c r="F31" i="101"/>
  <c r="L12" i="101"/>
  <c r="F33" i="101"/>
  <c r="F21" i="101"/>
  <c r="F39" i="101"/>
  <c r="F37" i="101"/>
  <c r="F28" i="101"/>
  <c r="F27" i="101"/>
  <c r="F23" i="101"/>
  <c r="F26" i="101"/>
  <c r="F30" i="101"/>
  <c r="F41" i="101"/>
  <c r="X26" i="103"/>
  <c r="Z26" i="103" s="1"/>
  <c r="F29" i="103"/>
  <c r="F38" i="103"/>
  <c r="F76" i="103"/>
  <c r="L12" i="99"/>
  <c r="J23" i="99"/>
  <c r="J27" i="99"/>
  <c r="F32" i="99"/>
  <c r="T16" i="100"/>
  <c r="V21" i="100"/>
  <c r="F25" i="100"/>
  <c r="F26" i="100"/>
  <c r="J23" i="101"/>
  <c r="J34" i="101"/>
  <c r="J24" i="101"/>
  <c r="J20" i="101"/>
  <c r="J18" i="101"/>
  <c r="J16" i="101"/>
  <c r="J14" i="101"/>
  <c r="J35" i="101"/>
  <c r="J39" i="101"/>
  <c r="J37" i="101"/>
  <c r="J28" i="101"/>
  <c r="J41" i="101"/>
  <c r="J29" i="101"/>
  <c r="Z18" i="101"/>
  <c r="F20" i="101"/>
  <c r="J26" i="101"/>
  <c r="J30" i="101"/>
  <c r="X31" i="101"/>
  <c r="J33" i="101"/>
  <c r="T91" i="103"/>
  <c r="V91" i="103" s="1"/>
  <c r="N88" i="105"/>
  <c r="J39" i="103"/>
  <c r="J43" i="103"/>
  <c r="V53" i="103"/>
  <c r="V57" i="103"/>
  <c r="V65" i="103"/>
  <c r="R14" i="102"/>
  <c r="R16" i="102"/>
  <c r="R18" i="102"/>
  <c r="V20" i="102"/>
  <c r="V24" i="102"/>
  <c r="V28" i="102"/>
  <c r="R33" i="102"/>
  <c r="R37" i="102"/>
  <c r="R45" i="102"/>
  <c r="V52" i="102"/>
  <c r="J93" i="103"/>
  <c r="J67" i="103"/>
  <c r="J82" i="103"/>
  <c r="J78" i="103"/>
  <c r="J56" i="103"/>
  <c r="J46" i="103"/>
  <c r="J68" i="103"/>
  <c r="J58" i="103"/>
  <c r="J83" i="103"/>
  <c r="J79" i="103"/>
  <c r="J59" i="103"/>
  <c r="J86" i="103"/>
  <c r="J80" i="103"/>
  <c r="J76" i="103"/>
  <c r="J87" i="103"/>
  <c r="V26" i="103"/>
  <c r="V30" i="103"/>
  <c r="V34" i="103"/>
  <c r="J38" i="103"/>
  <c r="J42" i="103"/>
  <c r="V60" i="103"/>
  <c r="J84" i="103"/>
  <c r="J84" i="105"/>
  <c r="J80" i="105"/>
  <c r="J68" i="105"/>
  <c r="J91" i="105"/>
  <c r="J85" i="105"/>
  <c r="J92" i="105"/>
  <c r="J94" i="105"/>
  <c r="J86" i="105"/>
  <c r="J82" i="105"/>
  <c r="J76" i="105"/>
  <c r="J70" i="105"/>
  <c r="J64" i="105"/>
  <c r="J69" i="105"/>
  <c r="J66" i="105"/>
  <c r="J58" i="105"/>
  <c r="J20" i="105"/>
  <c r="J90" i="105"/>
  <c r="J87" i="105"/>
  <c r="J59" i="105"/>
  <c r="J47" i="105"/>
  <c r="J43" i="105"/>
  <c r="J39" i="105"/>
  <c r="J83" i="105"/>
  <c r="J60" i="105"/>
  <c r="J48" i="105"/>
  <c r="J34" i="105"/>
  <c r="J30" i="105"/>
  <c r="J77" i="105"/>
  <c r="J73" i="105"/>
  <c r="J67" i="105"/>
  <c r="J61" i="105"/>
  <c r="J49" i="105"/>
  <c r="J21" i="105"/>
  <c r="J88" i="105"/>
  <c r="J81" i="105"/>
  <c r="J78" i="105"/>
  <c r="J50" i="105"/>
  <c r="J44" i="105"/>
  <c r="J40" i="105"/>
  <c r="J26" i="105"/>
  <c r="J62" i="105"/>
  <c r="J51" i="105"/>
  <c r="J35" i="105"/>
  <c r="J31" i="105"/>
  <c r="J27" i="105"/>
  <c r="J25" i="105"/>
  <c r="J74" i="105"/>
  <c r="J52" i="105"/>
  <c r="H23" i="105"/>
  <c r="J79" i="105"/>
  <c r="J71" i="105"/>
  <c r="J63" i="105"/>
  <c r="J53" i="105"/>
  <c r="J45" i="105"/>
  <c r="J41" i="105"/>
  <c r="J98" i="105"/>
  <c r="J54" i="105"/>
  <c r="J36" i="105"/>
  <c r="J32" i="105"/>
  <c r="J28" i="105"/>
  <c r="J18" i="105"/>
  <c r="J75" i="105"/>
  <c r="J65" i="105"/>
  <c r="J57" i="105"/>
  <c r="J33" i="105"/>
  <c r="J29" i="105"/>
  <c r="Z26" i="105"/>
  <c r="J38" i="105"/>
  <c r="R59" i="105"/>
  <c r="R80" i="105"/>
  <c r="T16" i="102"/>
  <c r="R19" i="102"/>
  <c r="V29" i="102"/>
  <c r="V33" i="102"/>
  <c r="V37" i="102"/>
  <c r="V45" i="102"/>
  <c r="R50" i="102"/>
  <c r="R51" i="102"/>
  <c r="V53" i="102"/>
  <c r="J19" i="103"/>
  <c r="J37" i="103"/>
  <c r="V39" i="103"/>
  <c r="V43" i="103"/>
  <c r="J50" i="103"/>
  <c r="Z52" i="103"/>
  <c r="V56" i="103"/>
  <c r="Z64" i="103"/>
  <c r="V67" i="103"/>
  <c r="V69" i="103"/>
  <c r="Z70" i="103"/>
  <c r="N75" i="103"/>
  <c r="V78" i="103"/>
  <c r="V82" i="103"/>
  <c r="Z19" i="104"/>
  <c r="X19" i="104"/>
  <c r="R47" i="105"/>
  <c r="L64" i="105"/>
  <c r="N64" i="105" s="1"/>
  <c r="N54" i="107"/>
  <c r="V14" i="102"/>
  <c r="V16" i="102"/>
  <c r="V18" i="102"/>
  <c r="R43" i="102"/>
  <c r="R44" i="102"/>
  <c r="V50" i="102"/>
  <c r="J28" i="103"/>
  <c r="J32" i="103"/>
  <c r="J36" i="103"/>
  <c r="J54" i="103"/>
  <c r="V55" i="103"/>
  <c r="J62" i="103"/>
  <c r="J66" i="103"/>
  <c r="J75" i="103"/>
  <c r="J89" i="105"/>
  <c r="V23" i="102"/>
  <c r="V27" i="102"/>
  <c r="R32" i="102"/>
  <c r="R36" i="102"/>
  <c r="V43" i="102"/>
  <c r="V51" i="102"/>
  <c r="V29" i="103"/>
  <c r="V33" i="103"/>
  <c r="J41" i="103"/>
  <c r="J45" i="103"/>
  <c r="V46" i="103"/>
  <c r="J49" i="103"/>
  <c r="N58" i="103"/>
  <c r="J77" i="103"/>
  <c r="J81" i="103"/>
  <c r="J89" i="103"/>
  <c r="N25" i="105"/>
  <c r="Z12" i="102"/>
  <c r="X19" i="102"/>
  <c r="Z19" i="102" s="1"/>
  <c r="V32" i="102"/>
  <c r="V36" i="102"/>
  <c r="R41" i="102"/>
  <c r="R42" i="102"/>
  <c r="V44" i="102"/>
  <c r="R49" i="102"/>
  <c r="X51" i="102"/>
  <c r="Z51" i="102" s="1"/>
  <c r="R62" i="102"/>
  <c r="R65" i="102"/>
  <c r="V83" i="103"/>
  <c r="V79" i="103"/>
  <c r="V75" i="103"/>
  <c r="V59" i="103"/>
  <c r="V86" i="103"/>
  <c r="V74" i="103"/>
  <c r="V70" i="103"/>
  <c r="V62" i="103"/>
  <c r="V50" i="103"/>
  <c r="V80" i="103"/>
  <c r="V76" i="103"/>
  <c r="V64" i="103"/>
  <c r="V52" i="103"/>
  <c r="V89" i="103"/>
  <c r="V87" i="103"/>
  <c r="V71" i="103"/>
  <c r="V63" i="103"/>
  <c r="V51" i="103"/>
  <c r="V93" i="103"/>
  <c r="V84" i="103"/>
  <c r="H23" i="103"/>
  <c r="V38" i="103"/>
  <c r="V42" i="103"/>
  <c r="J71" i="103"/>
  <c r="J74" i="103"/>
  <c r="N12" i="104"/>
  <c r="L12" i="104"/>
  <c r="J19" i="104"/>
  <c r="J20" i="104"/>
  <c r="J18" i="104"/>
  <c r="J16" i="104"/>
  <c r="J14" i="104"/>
  <c r="H16" i="104"/>
  <c r="J24" i="104"/>
  <c r="J22" i="104"/>
  <c r="J26" i="104"/>
  <c r="N18" i="105"/>
  <c r="R20" i="105"/>
  <c r="N52" i="105"/>
  <c r="R66" i="105"/>
  <c r="R22" i="102"/>
  <c r="R26" i="102"/>
  <c r="V41" i="102"/>
  <c r="V49" i="102"/>
  <c r="R60" i="102"/>
  <c r="V19" i="103"/>
  <c r="J25" i="103"/>
  <c r="J27" i="103"/>
  <c r="J31" i="103"/>
  <c r="J35" i="103"/>
  <c r="N48" i="103"/>
  <c r="J53" i="103"/>
  <c r="X54" i="103"/>
  <c r="J57" i="103"/>
  <c r="J61" i="103"/>
  <c r="J65" i="103"/>
  <c r="X66" i="103"/>
  <c r="Z66" i="103" s="1"/>
  <c r="J46" i="105"/>
  <c r="V26" i="102"/>
  <c r="R39" i="102"/>
  <c r="R40" i="102"/>
  <c r="V42" i="102"/>
  <c r="R47" i="102"/>
  <c r="R48" i="102"/>
  <c r="V60" i="102"/>
  <c r="V62" i="102"/>
  <c r="V65" i="102"/>
  <c r="V28" i="103"/>
  <c r="V32" i="103"/>
  <c r="V36" i="103"/>
  <c r="J40" i="103"/>
  <c r="J44" i="103"/>
  <c r="J48" i="103"/>
  <c r="V49" i="103"/>
  <c r="V68" i="103"/>
  <c r="V77" i="103"/>
  <c r="V81" i="103"/>
  <c r="J85" i="103"/>
  <c r="X86" i="103"/>
  <c r="Z86" i="103"/>
  <c r="V24" i="104"/>
  <c r="V22" i="104"/>
  <c r="V20" i="104"/>
  <c r="V31" i="104"/>
  <c r="V28" i="104"/>
  <c r="V26" i="104"/>
  <c r="Z12" i="104"/>
  <c r="T16" i="104"/>
  <c r="R85" i="105"/>
  <c r="R81" i="105"/>
  <c r="R69" i="105"/>
  <c r="R92" i="105"/>
  <c r="R86" i="105"/>
  <c r="R88" i="105"/>
  <c r="R87" i="105"/>
  <c r="R83" i="105"/>
  <c r="R79" i="105"/>
  <c r="R67" i="105"/>
  <c r="R91" i="105"/>
  <c r="R77" i="105"/>
  <c r="R73" i="105"/>
  <c r="R61" i="105"/>
  <c r="R50" i="105"/>
  <c r="R49" i="105"/>
  <c r="R26" i="105"/>
  <c r="R21" i="105"/>
  <c r="R78" i="105"/>
  <c r="R62" i="105"/>
  <c r="R44" i="105"/>
  <c r="R40" i="105"/>
  <c r="R25" i="105"/>
  <c r="R70" i="105"/>
  <c r="R52" i="105"/>
  <c r="R51" i="105"/>
  <c r="R35" i="105"/>
  <c r="R31" i="105"/>
  <c r="R27" i="105"/>
  <c r="P23" i="105"/>
  <c r="R74" i="105"/>
  <c r="R71" i="105"/>
  <c r="R63" i="105"/>
  <c r="R54" i="105"/>
  <c r="R53" i="105"/>
  <c r="R45" i="105"/>
  <c r="R41" i="105"/>
  <c r="R18" i="105"/>
  <c r="R84" i="105"/>
  <c r="R68" i="105"/>
  <c r="R64" i="105"/>
  <c r="R37" i="105"/>
  <c r="R36" i="105"/>
  <c r="R32" i="105"/>
  <c r="R28" i="105"/>
  <c r="X12" i="105"/>
  <c r="Z12" i="105" s="1"/>
  <c r="R98" i="105"/>
  <c r="R89" i="105"/>
  <c r="R56" i="105"/>
  <c r="R55" i="105"/>
  <c r="R19" i="105"/>
  <c r="R82" i="105"/>
  <c r="R46" i="105"/>
  <c r="R42" i="105"/>
  <c r="R38" i="105"/>
  <c r="R94" i="105"/>
  <c r="R75" i="105"/>
  <c r="R72" i="105"/>
  <c r="R65" i="105"/>
  <c r="R58" i="105"/>
  <c r="R57" i="105"/>
  <c r="R33" i="105"/>
  <c r="R29" i="105"/>
  <c r="R34" i="105"/>
  <c r="R30" i="105"/>
  <c r="J56" i="105"/>
  <c r="V31" i="102"/>
  <c r="V35" i="102"/>
  <c r="V39" i="102"/>
  <c r="V47" i="102"/>
  <c r="J21" i="103"/>
  <c r="V37" i="103"/>
  <c r="V41" i="103"/>
  <c r="V45" i="103"/>
  <c r="V61" i="103"/>
  <c r="Z62" i="103"/>
  <c r="J73" i="103"/>
  <c r="X12" i="104"/>
  <c r="V16" i="104"/>
  <c r="J31" i="104"/>
  <c r="L37" i="105"/>
  <c r="N37" i="105" s="1"/>
  <c r="Z50" i="105"/>
  <c r="R60" i="105"/>
  <c r="J72" i="105"/>
  <c r="Z91" i="105"/>
  <c r="Z70" i="107"/>
  <c r="R21" i="102"/>
  <c r="R25" i="102"/>
  <c r="V40" i="102"/>
  <c r="R56" i="102"/>
  <c r="V18" i="103"/>
  <c r="J30" i="103"/>
  <c r="J34" i="103"/>
  <c r="J47" i="103"/>
  <c r="J52" i="103"/>
  <c r="V54" i="103"/>
  <c r="V58" i="103"/>
  <c r="N60" i="103"/>
  <c r="J64" i="103"/>
  <c r="V66" i="103"/>
  <c r="J70" i="103"/>
  <c r="V85" i="103"/>
  <c r="J37" i="105"/>
  <c r="R39" i="105"/>
  <c r="X48" i="105"/>
  <c r="Z48" i="105" s="1"/>
  <c r="Z60" i="105"/>
  <c r="J22" i="106"/>
  <c r="J20" i="106"/>
  <c r="J18" i="106"/>
  <c r="J16" i="106"/>
  <c r="J14" i="106"/>
  <c r="H16" i="106"/>
  <c r="J29" i="106"/>
  <c r="J26" i="106"/>
  <c r="N12" i="106"/>
  <c r="J24" i="106"/>
  <c r="N66" i="107"/>
  <c r="R19" i="104"/>
  <c r="D12" i="105"/>
  <c r="V21" i="105"/>
  <c r="V23" i="105"/>
  <c r="V25" i="105"/>
  <c r="V49" i="105"/>
  <c r="V61" i="105"/>
  <c r="V62" i="105"/>
  <c r="V73" i="105"/>
  <c r="V77" i="105"/>
  <c r="V78" i="105"/>
  <c r="V83" i="105"/>
  <c r="V85" i="105"/>
  <c r="F24" i="106"/>
  <c r="D16" i="106"/>
  <c r="F29" i="106"/>
  <c r="F26" i="106"/>
  <c r="R88" i="107"/>
  <c r="R93" i="107"/>
  <c r="R90" i="107"/>
  <c r="R67" i="107"/>
  <c r="R56" i="107"/>
  <c r="R55" i="107"/>
  <c r="R44" i="107"/>
  <c r="R43" i="107"/>
  <c r="R39" i="107"/>
  <c r="R35" i="107"/>
  <c r="R16" i="107"/>
  <c r="R30" i="107"/>
  <c r="R26" i="107"/>
  <c r="R78" i="107"/>
  <c r="R77" i="107"/>
  <c r="R73" i="107"/>
  <c r="R58" i="107"/>
  <c r="R57" i="107"/>
  <c r="R46" i="107"/>
  <c r="R45" i="107"/>
  <c r="R22" i="107"/>
  <c r="R68" i="107"/>
  <c r="R40" i="107"/>
  <c r="R36" i="107"/>
  <c r="R21" i="107"/>
  <c r="R19" i="107"/>
  <c r="R79" i="107"/>
  <c r="R60" i="107"/>
  <c r="R59" i="107"/>
  <c r="R48" i="107"/>
  <c r="R47" i="107"/>
  <c r="R31" i="107"/>
  <c r="R27" i="107"/>
  <c r="R23" i="107"/>
  <c r="P19" i="107"/>
  <c r="R74" i="107"/>
  <c r="R70" i="107"/>
  <c r="R69" i="107"/>
  <c r="R62" i="107"/>
  <c r="R61" i="107"/>
  <c r="R50" i="107"/>
  <c r="R49" i="107"/>
  <c r="R41" i="107"/>
  <c r="R37" i="107"/>
  <c r="R81" i="107"/>
  <c r="R80" i="107"/>
  <c r="R33" i="107"/>
  <c r="R32" i="107"/>
  <c r="R28" i="107"/>
  <c r="R24" i="107"/>
  <c r="R75" i="107"/>
  <c r="R71" i="107"/>
  <c r="R64" i="107"/>
  <c r="R63" i="107"/>
  <c r="R52" i="107"/>
  <c r="R51" i="107"/>
  <c r="R76" i="107"/>
  <c r="R72" i="107"/>
  <c r="X12" i="107"/>
  <c r="Z12" i="107" s="1"/>
  <c r="R38" i="107"/>
  <c r="R42" i="107"/>
  <c r="N50" i="107"/>
  <c r="L60" i="107"/>
  <c r="N60" i="107" s="1"/>
  <c r="N62" i="107"/>
  <c r="D12" i="109"/>
  <c r="L13" i="109"/>
  <c r="N13" i="109" s="1"/>
  <c r="V20" i="105"/>
  <c r="V48" i="105"/>
  <c r="V60" i="105"/>
  <c r="Z66" i="105"/>
  <c r="V80" i="105"/>
  <c r="N21" i="107"/>
  <c r="D16" i="104"/>
  <c r="V29" i="105"/>
  <c r="V33" i="105"/>
  <c r="V57" i="105"/>
  <c r="V65" i="105"/>
  <c r="V66" i="105"/>
  <c r="V72" i="105"/>
  <c r="R29" i="106"/>
  <c r="R26" i="106"/>
  <c r="R24" i="106"/>
  <c r="R54" i="107"/>
  <c r="R66" i="107"/>
  <c r="V94" i="105"/>
  <c r="V92" i="105"/>
  <c r="V76" i="105"/>
  <c r="V64" i="105"/>
  <c r="V98" i="105"/>
  <c r="V88" i="105"/>
  <c r="V38" i="105"/>
  <c r="V42" i="105"/>
  <c r="V46" i="105"/>
  <c r="V58" i="105"/>
  <c r="V82" i="105"/>
  <c r="F16" i="106"/>
  <c r="Z21" i="107"/>
  <c r="X54" i="107"/>
  <c r="Z54" i="107" s="1"/>
  <c r="Z66" i="107"/>
  <c r="X66" i="107"/>
  <c r="H75" i="109"/>
  <c r="J75" i="109" s="1"/>
  <c r="R26" i="104"/>
  <c r="V19" i="105"/>
  <c r="V55" i="105"/>
  <c r="N78" i="105"/>
  <c r="V86" i="105"/>
  <c r="V89" i="105"/>
  <c r="X12" i="106"/>
  <c r="R18" i="106"/>
  <c r="F22" i="106"/>
  <c r="V28" i="105"/>
  <c r="V32" i="105"/>
  <c r="V36" i="105"/>
  <c r="V56" i="105"/>
  <c r="V68" i="105"/>
  <c r="V79" i="105"/>
  <c r="V84" i="105"/>
  <c r="R17" i="107"/>
  <c r="R84" i="107"/>
  <c r="V37" i="105"/>
  <c r="V41" i="105"/>
  <c r="V45" i="105"/>
  <c r="V53" i="105"/>
  <c r="V63" i="105"/>
  <c r="V74" i="105"/>
  <c r="L88" i="105"/>
  <c r="N91" i="105"/>
  <c r="P16" i="106"/>
  <c r="N22" i="107"/>
  <c r="R53" i="107"/>
  <c r="R65" i="107"/>
  <c r="Z84" i="107"/>
  <c r="X84" i="107"/>
  <c r="V54" i="105"/>
  <c r="V71" i="105"/>
  <c r="V81" i="105"/>
  <c r="F14" i="106"/>
  <c r="R16" i="106"/>
  <c r="R22" i="106"/>
  <c r="H86" i="107"/>
  <c r="J19" i="107"/>
  <c r="R86" i="107"/>
  <c r="P16" i="104"/>
  <c r="R20" i="104"/>
  <c r="V27" i="105"/>
  <c r="V31" i="105"/>
  <c r="V35" i="105"/>
  <c r="V51" i="105"/>
  <c r="N66" i="105"/>
  <c r="V70" i="105"/>
  <c r="X88" i="105"/>
  <c r="Z88" i="105" s="1"/>
  <c r="T16" i="106"/>
  <c r="F20" i="106"/>
  <c r="T86" i="107"/>
  <c r="R14" i="104"/>
  <c r="R16" i="104"/>
  <c r="T23" i="105"/>
  <c r="V40" i="105"/>
  <c r="V44" i="105"/>
  <c r="V52" i="105"/>
  <c r="V67" i="105"/>
  <c r="Z78" i="105"/>
  <c r="D12" i="107"/>
  <c r="L13" i="107"/>
  <c r="N13" i="107" s="1"/>
  <c r="R34" i="107"/>
  <c r="N44" i="107"/>
  <c r="N46" i="107"/>
  <c r="N48" i="107"/>
  <c r="L48" i="107"/>
  <c r="J51" i="107"/>
  <c r="V55" i="107"/>
  <c r="J63" i="107"/>
  <c r="V67" i="107"/>
  <c r="J71" i="107"/>
  <c r="J75" i="107"/>
  <c r="J81" i="107"/>
  <c r="V42" i="107"/>
  <c r="J48" i="107"/>
  <c r="V54" i="107"/>
  <c r="J60" i="107"/>
  <c r="V66" i="107"/>
  <c r="J74" i="107"/>
  <c r="V82" i="107"/>
  <c r="V84" i="107"/>
  <c r="N44" i="109"/>
  <c r="J21" i="107"/>
  <c r="J47" i="107"/>
  <c r="V51" i="107"/>
  <c r="J59" i="107"/>
  <c r="V63" i="107"/>
  <c r="V71" i="107"/>
  <c r="V75" i="107"/>
  <c r="J79" i="107"/>
  <c r="V14" i="106"/>
  <c r="V16" i="106"/>
  <c r="V18" i="106"/>
  <c r="V20" i="106"/>
  <c r="J22" i="107"/>
  <c r="V24" i="107"/>
  <c r="V28" i="107"/>
  <c r="V32" i="107"/>
  <c r="J36" i="107"/>
  <c r="J40" i="107"/>
  <c r="J46" i="107"/>
  <c r="V52" i="107"/>
  <c r="J58" i="107"/>
  <c r="V64" i="107"/>
  <c r="J68" i="107"/>
  <c r="J78" i="107"/>
  <c r="V80" i="107"/>
  <c r="N42" i="109"/>
  <c r="Z48" i="109"/>
  <c r="N53" i="109"/>
  <c r="L53" i="109"/>
  <c r="V65" i="109"/>
  <c r="J45" i="107"/>
  <c r="J57" i="107"/>
  <c r="V61" i="107"/>
  <c r="V69" i="107"/>
  <c r="J73" i="107"/>
  <c r="J77" i="107"/>
  <c r="V81" i="107"/>
  <c r="J88" i="107"/>
  <c r="X13" i="107"/>
  <c r="Z13" i="107" s="1"/>
  <c r="J16" i="107"/>
  <c r="J26" i="107"/>
  <c r="J30" i="107"/>
  <c r="J44" i="107"/>
  <c r="V50" i="107"/>
  <c r="J56" i="107"/>
  <c r="V62" i="107"/>
  <c r="V70" i="107"/>
  <c r="V74" i="107"/>
  <c r="J31" i="108"/>
  <c r="J28" i="108"/>
  <c r="V26" i="109"/>
  <c r="N31" i="109"/>
  <c r="Z53" i="109"/>
  <c r="Z57" i="109"/>
  <c r="J35" i="107"/>
  <c r="J39" i="107"/>
  <c r="J43" i="107"/>
  <c r="V47" i="107"/>
  <c r="J55" i="107"/>
  <c r="V59" i="107"/>
  <c r="J67" i="107"/>
  <c r="V79" i="107"/>
  <c r="V36" i="107"/>
  <c r="V40" i="107"/>
  <c r="V48" i="107"/>
  <c r="J54" i="107"/>
  <c r="V60" i="107"/>
  <c r="J66" i="107"/>
  <c r="V68" i="107"/>
  <c r="J72" i="107"/>
  <c r="J76" i="107"/>
  <c r="J84" i="107"/>
  <c r="J86" i="107"/>
  <c r="V88" i="107"/>
  <c r="J22" i="108"/>
  <c r="V17" i="107"/>
  <c r="V19" i="107"/>
  <c r="V21" i="107"/>
  <c r="J25" i="107"/>
  <c r="J29" i="107"/>
  <c r="V45" i="107"/>
  <c r="J53" i="107"/>
  <c r="V57" i="107"/>
  <c r="J65" i="107"/>
  <c r="V73" i="107"/>
  <c r="V77" i="107"/>
  <c r="J26" i="108"/>
  <c r="V64" i="109"/>
  <c r="V40" i="109"/>
  <c r="V36" i="109"/>
  <c r="V32" i="109"/>
  <c r="V59" i="109"/>
  <c r="V51" i="109"/>
  <c r="V27" i="109"/>
  <c r="V23" i="109"/>
  <c r="V68" i="109"/>
  <c r="V66" i="109"/>
  <c r="V50" i="109"/>
  <c r="V42" i="109"/>
  <c r="V69" i="109"/>
  <c r="V53" i="109"/>
  <c r="V41" i="109"/>
  <c r="V37" i="109"/>
  <c r="V33" i="109"/>
  <c r="V60" i="109"/>
  <c r="V52" i="109"/>
  <c r="V44" i="109"/>
  <c r="V28" i="109"/>
  <c r="V24" i="109"/>
  <c r="V20" i="109"/>
  <c r="V55" i="109"/>
  <c r="V43" i="109"/>
  <c r="V19" i="109"/>
  <c r="V17" i="109"/>
  <c r="V15" i="109"/>
  <c r="V62" i="109"/>
  <c r="V54" i="109"/>
  <c r="V46" i="109"/>
  <c r="V38" i="109"/>
  <c r="V34" i="109"/>
  <c r="T17" i="109"/>
  <c r="V73" i="109"/>
  <c r="V61" i="109"/>
  <c r="V57" i="109"/>
  <c r="V45" i="109"/>
  <c r="V29" i="109"/>
  <c r="V25" i="109"/>
  <c r="V21" i="109"/>
  <c r="V56" i="109"/>
  <c r="V48" i="109"/>
  <c r="V63" i="109"/>
  <c r="V47" i="109"/>
  <c r="V39" i="109"/>
  <c r="V35" i="109"/>
  <c r="V31" i="109"/>
  <c r="Z31" i="109"/>
  <c r="D68" i="109"/>
  <c r="L68" i="109" s="1"/>
  <c r="N68" i="109" s="1"/>
  <c r="V22" i="107"/>
  <c r="V26" i="107"/>
  <c r="V30" i="107"/>
  <c r="J34" i="107"/>
  <c r="J38" i="107"/>
  <c r="J42" i="107"/>
  <c r="V46" i="107"/>
  <c r="J52" i="107"/>
  <c r="V58" i="107"/>
  <c r="J64" i="107"/>
  <c r="H16" i="108"/>
  <c r="D20" i="108"/>
  <c r="L20" i="108" s="1"/>
  <c r="L21" i="108"/>
  <c r="X12" i="109"/>
  <c r="Z12" i="109" s="1"/>
  <c r="N20" i="109"/>
  <c r="L14" i="108"/>
  <c r="N15" i="109"/>
  <c r="J43" i="109"/>
  <c r="J53" i="109"/>
  <c r="R56" i="109"/>
  <c r="R57" i="109"/>
  <c r="J71" i="109"/>
  <c r="P17" i="109"/>
  <c r="R21" i="109"/>
  <c r="J24" i="109"/>
  <c r="R25" i="109"/>
  <c r="J28" i="109"/>
  <c r="R29" i="109"/>
  <c r="J42" i="109"/>
  <c r="R45" i="109"/>
  <c r="R46" i="109"/>
  <c r="J52" i="109"/>
  <c r="J60" i="109"/>
  <c r="R61" i="109"/>
  <c r="R62" i="109"/>
  <c r="J68" i="109"/>
  <c r="J69" i="109"/>
  <c r="R73" i="109"/>
  <c r="R15" i="109"/>
  <c r="R19" i="109"/>
  <c r="J33" i="109"/>
  <c r="R34" i="109"/>
  <c r="J37" i="109"/>
  <c r="R38" i="109"/>
  <c r="J41" i="109"/>
  <c r="J51" i="109"/>
  <c r="R54" i="109"/>
  <c r="R55" i="109"/>
  <c r="R20" i="109"/>
  <c r="R43" i="109"/>
  <c r="R44" i="109"/>
  <c r="J50" i="109"/>
  <c r="J66" i="109"/>
  <c r="T16" i="108"/>
  <c r="V21" i="108"/>
  <c r="J23" i="109"/>
  <c r="R24" i="109"/>
  <c r="J27" i="109"/>
  <c r="R28" i="109"/>
  <c r="R52" i="109"/>
  <c r="R53" i="109"/>
  <c r="J59" i="109"/>
  <c r="R60" i="109"/>
  <c r="J65" i="109"/>
  <c r="V14" i="108"/>
  <c r="V16" i="108"/>
  <c r="V18" i="108"/>
  <c r="V20" i="108"/>
  <c r="J32" i="109"/>
  <c r="R33" i="109"/>
  <c r="J36" i="109"/>
  <c r="R37" i="109"/>
  <c r="J40" i="109"/>
  <c r="R41" i="109"/>
  <c r="R42" i="109"/>
  <c r="J64" i="109"/>
  <c r="R68" i="109"/>
  <c r="R69" i="109"/>
  <c r="J31" i="109"/>
  <c r="J49" i="109"/>
  <c r="R50" i="109"/>
  <c r="R51" i="109"/>
  <c r="R66" i="109"/>
  <c r="J22" i="109"/>
  <c r="R23" i="109"/>
  <c r="J26" i="109"/>
  <c r="R27" i="109"/>
  <c r="J30" i="109"/>
  <c r="J48" i="109"/>
  <c r="X53" i="109"/>
  <c r="J58" i="109"/>
  <c r="R59" i="109"/>
  <c r="R32" i="109"/>
  <c r="J35" i="109"/>
  <c r="R36" i="109"/>
  <c r="J39" i="109"/>
  <c r="R40" i="109"/>
  <c r="X42" i="109"/>
  <c r="Z42" i="109" s="1"/>
  <c r="J47" i="109"/>
  <c r="J57" i="109"/>
  <c r="J63" i="109"/>
  <c r="R64" i="109"/>
  <c r="R65" i="109"/>
  <c r="J46" i="109"/>
  <c r="J56" i="109"/>
  <c r="J62" i="109"/>
  <c r="P56" i="99" l="1"/>
  <c r="X16" i="99"/>
  <c r="L16" i="88"/>
  <c r="D32" i="88"/>
  <c r="F222" i="18"/>
  <c r="F218" i="18"/>
  <c r="F206" i="18"/>
  <c r="F194" i="18"/>
  <c r="F193" i="18"/>
  <c r="F186" i="18"/>
  <c r="F185" i="18"/>
  <c r="F170" i="18"/>
  <c r="F169" i="18"/>
  <c r="F134" i="18"/>
  <c r="F130" i="18"/>
  <c r="F126" i="18"/>
  <c r="F122" i="18"/>
  <c r="F118" i="18"/>
  <c r="F114" i="18"/>
  <c r="F110" i="18"/>
  <c r="F106" i="18"/>
  <c r="F102" i="18"/>
  <c r="F98" i="18"/>
  <c r="F94" i="18"/>
  <c r="F238" i="18"/>
  <c r="F229" i="18"/>
  <c r="F228" i="18"/>
  <c r="F213" i="18"/>
  <c r="F212" i="18"/>
  <c r="F201" i="18"/>
  <c r="F177" i="18"/>
  <c r="F161" i="18"/>
  <c r="F157" i="18"/>
  <c r="F153" i="18"/>
  <c r="F239" i="18"/>
  <c r="F237" i="18"/>
  <c r="F208" i="18"/>
  <c r="F207" i="18"/>
  <c r="F196" i="18"/>
  <c r="F195" i="18"/>
  <c r="F148" i="18"/>
  <c r="F144" i="18"/>
  <c r="F240" i="18"/>
  <c r="F231" i="18"/>
  <c r="F230" i="18"/>
  <c r="F223" i="18"/>
  <c r="F219" i="18"/>
  <c r="F203" i="18"/>
  <c r="F202" i="18"/>
  <c r="F187" i="18"/>
  <c r="F179" i="18"/>
  <c r="F178" i="18"/>
  <c r="F171" i="18"/>
  <c r="F163" i="18"/>
  <c r="F162" i="18"/>
  <c r="F135" i="18"/>
  <c r="F131" i="18"/>
  <c r="F127" i="18"/>
  <c r="F123" i="18"/>
  <c r="F119" i="18"/>
  <c r="F115" i="18"/>
  <c r="F111" i="18"/>
  <c r="F107" i="18"/>
  <c r="F103" i="18"/>
  <c r="F99" i="18"/>
  <c r="F95" i="18"/>
  <c r="F241" i="18"/>
  <c r="F214" i="18"/>
  <c r="F198" i="18"/>
  <c r="F197" i="18"/>
  <c r="F158" i="18"/>
  <c r="F154" i="18"/>
  <c r="F242" i="18"/>
  <c r="F209" i="18"/>
  <c r="F181" i="18"/>
  <c r="F180" i="18"/>
  <c r="F173" i="18"/>
  <c r="F172" i="18"/>
  <c r="F165" i="18"/>
  <c r="F164" i="18"/>
  <c r="F149" i="18"/>
  <c r="F145" i="18"/>
  <c r="F141" i="18"/>
  <c r="F140" i="18"/>
  <c r="F232" i="18"/>
  <c r="F224" i="18"/>
  <c r="F220" i="18"/>
  <c r="F216" i="18"/>
  <c r="F215" i="18"/>
  <c r="F204" i="18"/>
  <c r="F188" i="18"/>
  <c r="F139" i="18"/>
  <c r="F137" i="18"/>
  <c r="F132" i="18"/>
  <c r="F128" i="18"/>
  <c r="F124" i="18"/>
  <c r="F120" i="18"/>
  <c r="F116" i="18"/>
  <c r="F112" i="18"/>
  <c r="F108" i="18"/>
  <c r="F104" i="18"/>
  <c r="F100" i="18"/>
  <c r="F96" i="18"/>
  <c r="F199" i="18"/>
  <c r="F183" i="18"/>
  <c r="F182" i="18"/>
  <c r="F159" i="18"/>
  <c r="F155" i="18"/>
  <c r="D137" i="18"/>
  <c r="F246" i="18"/>
  <c r="F226" i="18"/>
  <c r="F225" i="18"/>
  <c r="F210" i="18"/>
  <c r="F190" i="18"/>
  <c r="F189" i="18"/>
  <c r="F174" i="18"/>
  <c r="F166" i="18"/>
  <c r="F150" i="18"/>
  <c r="F146" i="18"/>
  <c r="F142" i="18"/>
  <c r="F235" i="18"/>
  <c r="F234" i="18"/>
  <c r="F227" i="18"/>
  <c r="F211" i="18"/>
  <c r="F147" i="18"/>
  <c r="F143" i="18"/>
  <c r="F233" i="18"/>
  <c r="F109" i="18"/>
  <c r="F175" i="18"/>
  <c r="F160" i="18"/>
  <c r="F113" i="18"/>
  <c r="F92" i="18"/>
  <c r="F117" i="18"/>
  <c r="F221" i="18"/>
  <c r="F152" i="18"/>
  <c r="F121" i="18"/>
  <c r="F205" i="18"/>
  <c r="F192" i="18"/>
  <c r="F168" i="18"/>
  <c r="F125" i="18"/>
  <c r="F200" i="18"/>
  <c r="F129" i="18"/>
  <c r="F133" i="18"/>
  <c r="F93" i="18"/>
  <c r="F176" i="18"/>
  <c r="F156" i="18"/>
  <c r="F151" i="18"/>
  <c r="F184" i="18"/>
  <c r="F105" i="18"/>
  <c r="F97" i="18"/>
  <c r="F101" i="18"/>
  <c r="F217" i="18"/>
  <c r="L12" i="18"/>
  <c r="N12" i="18" s="1"/>
  <c r="F191" i="18"/>
  <c r="F167" i="18"/>
  <c r="R75" i="76"/>
  <c r="R74" i="76"/>
  <c r="R58" i="76"/>
  <c r="R54" i="76"/>
  <c r="R50" i="76"/>
  <c r="P46" i="76"/>
  <c r="R94" i="76"/>
  <c r="R93" i="76"/>
  <c r="R86" i="76"/>
  <c r="R85" i="76"/>
  <c r="R77" i="76"/>
  <c r="R76" i="76"/>
  <c r="R68" i="76"/>
  <c r="R64" i="76"/>
  <c r="R98" i="76"/>
  <c r="R97" i="76"/>
  <c r="R79" i="76"/>
  <c r="R78" i="76"/>
  <c r="R99" i="76"/>
  <c r="R89" i="76"/>
  <c r="R80" i="76"/>
  <c r="R56" i="76"/>
  <c r="R52" i="76"/>
  <c r="R43" i="76"/>
  <c r="R39" i="76"/>
  <c r="R35" i="76"/>
  <c r="R90" i="76"/>
  <c r="R71" i="76"/>
  <c r="R70" i="76"/>
  <c r="R66" i="76"/>
  <c r="R62" i="76"/>
  <c r="R92" i="76"/>
  <c r="R91" i="76"/>
  <c r="R84" i="76"/>
  <c r="R87" i="76"/>
  <c r="R73" i="76"/>
  <c r="R59" i="76"/>
  <c r="R48" i="76"/>
  <c r="R41" i="76"/>
  <c r="R103" i="76"/>
  <c r="R95" i="76"/>
  <c r="R55" i="76"/>
  <c r="R38" i="76"/>
  <c r="R32" i="76"/>
  <c r="R53" i="76"/>
  <c r="R51" i="76"/>
  <c r="R44" i="76"/>
  <c r="R83" i="76"/>
  <c r="R69" i="76"/>
  <c r="R60" i="76"/>
  <c r="R49" i="76"/>
  <c r="X12" i="76"/>
  <c r="Z12" i="76" s="1"/>
  <c r="R88" i="76"/>
  <c r="R67" i="76"/>
  <c r="R36" i="76"/>
  <c r="R33" i="76"/>
  <c r="R65" i="76"/>
  <c r="R42" i="76"/>
  <c r="R81" i="76"/>
  <c r="R72" i="76"/>
  <c r="R63" i="76"/>
  <c r="R37" i="76"/>
  <c r="R57" i="76"/>
  <c r="R82" i="76"/>
  <c r="R61" i="76"/>
  <c r="R34" i="76"/>
  <c r="R40" i="76"/>
  <c r="D22" i="106"/>
  <c r="L16" i="106"/>
  <c r="X17" i="109"/>
  <c r="P71" i="109"/>
  <c r="H91" i="103"/>
  <c r="N23" i="103"/>
  <c r="T24" i="108"/>
  <c r="Z16" i="108"/>
  <c r="D24" i="108"/>
  <c r="T24" i="104"/>
  <c r="Z16" i="104"/>
  <c r="D56" i="99"/>
  <c r="L16" i="99"/>
  <c r="P78" i="92"/>
  <c r="X18" i="92"/>
  <c r="F66" i="92"/>
  <c r="F67" i="92"/>
  <c r="F55" i="92"/>
  <c r="F74" i="92"/>
  <c r="F73" i="92"/>
  <c r="F62" i="92"/>
  <c r="F68" i="92"/>
  <c r="F56" i="92"/>
  <c r="F80" i="92"/>
  <c r="F58" i="92"/>
  <c r="F57" i="92"/>
  <c r="F72" i="92"/>
  <c r="F61" i="92"/>
  <c r="F54" i="92"/>
  <c r="F46" i="92"/>
  <c r="F45" i="92"/>
  <c r="F38" i="92"/>
  <c r="F34" i="92"/>
  <c r="F85" i="92"/>
  <c r="F29" i="92"/>
  <c r="F25" i="92"/>
  <c r="F76" i="92"/>
  <c r="F69" i="92"/>
  <c r="F16" i="92"/>
  <c r="F15" i="92"/>
  <c r="F64" i="92"/>
  <c r="F47" i="92"/>
  <c r="F39" i="92"/>
  <c r="F35" i="92"/>
  <c r="F31" i="92"/>
  <c r="F30" i="92"/>
  <c r="F59" i="92"/>
  <c r="F26" i="92"/>
  <c r="F22" i="92"/>
  <c r="F21" i="92"/>
  <c r="L12" i="92"/>
  <c r="F49" i="92"/>
  <c r="F48" i="92"/>
  <c r="F20" i="92"/>
  <c r="F18" i="92"/>
  <c r="F78" i="92"/>
  <c r="F70" i="92"/>
  <c r="F40" i="92"/>
  <c r="F36" i="92"/>
  <c r="F32" i="92"/>
  <c r="D18" i="92"/>
  <c r="F82" i="92"/>
  <c r="F65" i="92"/>
  <c r="F51" i="92"/>
  <c r="F50" i="92"/>
  <c r="F27" i="92"/>
  <c r="F23" i="92"/>
  <c r="F71" i="92"/>
  <c r="F60" i="92"/>
  <c r="F42" i="92"/>
  <c r="F41" i="92"/>
  <c r="F63" i="92"/>
  <c r="F28" i="92"/>
  <c r="F53" i="92"/>
  <c r="F24" i="92"/>
  <c r="F33" i="92"/>
  <c r="F43" i="92"/>
  <c r="F37" i="92"/>
  <c r="F52" i="92"/>
  <c r="F44" i="92"/>
  <c r="L20" i="87"/>
  <c r="D91" i="87"/>
  <c r="L20" i="85"/>
  <c r="N20" i="85" s="1"/>
  <c r="D28" i="85"/>
  <c r="H121" i="84"/>
  <c r="R75" i="79"/>
  <c r="R67" i="79"/>
  <c r="R52" i="79"/>
  <c r="R51" i="79"/>
  <c r="R43" i="79"/>
  <c r="R39" i="79"/>
  <c r="R24" i="79"/>
  <c r="R22" i="79"/>
  <c r="R77" i="79"/>
  <c r="R35" i="79"/>
  <c r="R34" i="79"/>
  <c r="R30" i="79"/>
  <c r="R26" i="79"/>
  <c r="P22" i="79"/>
  <c r="R62" i="79"/>
  <c r="R61" i="79"/>
  <c r="R54" i="79"/>
  <c r="R53" i="79"/>
  <c r="R69" i="79"/>
  <c r="R68" i="79"/>
  <c r="R44" i="79"/>
  <c r="R40" i="79"/>
  <c r="R36" i="79"/>
  <c r="R17" i="79"/>
  <c r="R81" i="79"/>
  <c r="R63" i="79"/>
  <c r="R56" i="79"/>
  <c r="R55" i="79"/>
  <c r="R31" i="79"/>
  <c r="R27" i="79"/>
  <c r="R70" i="79"/>
  <c r="R18" i="79"/>
  <c r="R57" i="79"/>
  <c r="R46" i="79"/>
  <c r="R45" i="79"/>
  <c r="R41" i="79"/>
  <c r="R37" i="79"/>
  <c r="R65" i="79"/>
  <c r="R64" i="79"/>
  <c r="R32" i="79"/>
  <c r="R28" i="79"/>
  <c r="R72" i="79"/>
  <c r="R71" i="79"/>
  <c r="R48" i="79"/>
  <c r="R47" i="79"/>
  <c r="R19" i="79"/>
  <c r="R60" i="79"/>
  <c r="R25" i="79"/>
  <c r="R20" i="79"/>
  <c r="R50" i="79"/>
  <c r="R38" i="79"/>
  <c r="R73" i="79"/>
  <c r="R66" i="79"/>
  <c r="R42" i="79"/>
  <c r="R59" i="79"/>
  <c r="R29" i="79"/>
  <c r="R74" i="79"/>
  <c r="R49" i="79"/>
  <c r="X12" i="79"/>
  <c r="Z12" i="79" s="1"/>
  <c r="R58" i="79"/>
  <c r="R33" i="79"/>
  <c r="F146" i="74"/>
  <c r="F144" i="74"/>
  <c r="F135" i="74"/>
  <c r="F131" i="74"/>
  <c r="F107" i="74"/>
  <c r="F106" i="74"/>
  <c r="F78" i="74"/>
  <c r="F71" i="74"/>
  <c r="F67" i="74"/>
  <c r="F63" i="74"/>
  <c r="F59" i="74"/>
  <c r="F55" i="74"/>
  <c r="F147" i="74"/>
  <c r="F126" i="74"/>
  <c r="F125" i="74"/>
  <c r="F118" i="74"/>
  <c r="F117" i="74"/>
  <c r="F98" i="74"/>
  <c r="F94" i="74"/>
  <c r="F90" i="74"/>
  <c r="F89" i="74"/>
  <c r="D76" i="74"/>
  <c r="F137" i="74"/>
  <c r="F136" i="74"/>
  <c r="F109" i="74"/>
  <c r="F108" i="74"/>
  <c r="F85" i="74"/>
  <c r="F81" i="74"/>
  <c r="F132" i="74"/>
  <c r="F120" i="74"/>
  <c r="F119" i="74"/>
  <c r="F151" i="74"/>
  <c r="F139" i="74"/>
  <c r="F138" i="74"/>
  <c r="F127" i="74"/>
  <c r="F111" i="74"/>
  <c r="F110" i="74"/>
  <c r="F99" i="74"/>
  <c r="F95" i="74"/>
  <c r="F91" i="74"/>
  <c r="F122" i="74"/>
  <c r="F121" i="74"/>
  <c r="F86" i="74"/>
  <c r="F82" i="74"/>
  <c r="F141" i="74"/>
  <c r="F140" i="74"/>
  <c r="F133" i="74"/>
  <c r="F129" i="74"/>
  <c r="F128" i="74"/>
  <c r="F101" i="74"/>
  <c r="F100" i="74"/>
  <c r="F73" i="74"/>
  <c r="F69" i="74"/>
  <c r="F65" i="74"/>
  <c r="F61" i="74"/>
  <c r="F57" i="74"/>
  <c r="F53" i="74"/>
  <c r="F52" i="74"/>
  <c r="F112" i="74"/>
  <c r="F96" i="74"/>
  <c r="F92" i="74"/>
  <c r="F123" i="74"/>
  <c r="F103" i="74"/>
  <c r="F102" i="74"/>
  <c r="F87" i="74"/>
  <c r="F83" i="74"/>
  <c r="F145" i="74"/>
  <c r="F124" i="74"/>
  <c r="F116" i="74"/>
  <c r="F115" i="74"/>
  <c r="F88" i="74"/>
  <c r="F84" i="74"/>
  <c r="F80" i="74"/>
  <c r="F79" i="74"/>
  <c r="F142" i="74"/>
  <c r="F113" i="74"/>
  <c r="F105" i="74"/>
  <c r="F93" i="74"/>
  <c r="F130" i="74"/>
  <c r="F97" i="74"/>
  <c r="F104" i="74"/>
  <c r="L12" i="74"/>
  <c r="N12" i="74" s="1"/>
  <c r="F62" i="74"/>
  <c r="F60" i="74"/>
  <c r="F58" i="74"/>
  <c r="F114" i="74"/>
  <c r="F66" i="74"/>
  <c r="F64" i="74"/>
  <c r="F56" i="74"/>
  <c r="F54" i="74"/>
  <c r="F134" i="74"/>
  <c r="F70" i="74"/>
  <c r="F68" i="74"/>
  <c r="F74" i="74"/>
  <c r="F72" i="74"/>
  <c r="H82" i="75"/>
  <c r="T67" i="61"/>
  <c r="Z16" i="63"/>
  <c r="T100" i="63"/>
  <c r="H33" i="55"/>
  <c r="N16" i="55"/>
  <c r="P65" i="60"/>
  <c r="T80" i="58"/>
  <c r="P37" i="55"/>
  <c r="P83" i="56"/>
  <c r="H101" i="45"/>
  <c r="X23" i="45"/>
  <c r="Z23" i="45" s="1"/>
  <c r="P101" i="45"/>
  <c r="P106" i="21"/>
  <c r="X24" i="21"/>
  <c r="N16" i="6"/>
  <c r="H22" i="6"/>
  <c r="R216" i="15"/>
  <c r="R215" i="15"/>
  <c r="R200" i="15"/>
  <c r="R196" i="15"/>
  <c r="R185" i="15"/>
  <c r="R184" i="15"/>
  <c r="R173" i="15"/>
  <c r="R172" i="15"/>
  <c r="R164" i="15"/>
  <c r="R148" i="15"/>
  <c r="R217" i="15"/>
  <c r="R208" i="15"/>
  <c r="R207" i="15"/>
  <c r="R218" i="15"/>
  <c r="R219" i="15"/>
  <c r="R209" i="15"/>
  <c r="R201" i="15"/>
  <c r="R197" i="15"/>
  <c r="R181" i="15"/>
  <c r="R165" i="15"/>
  <c r="R158" i="15"/>
  <c r="R157" i="15"/>
  <c r="R150" i="15"/>
  <c r="R149" i="15"/>
  <c r="R142" i="15"/>
  <c r="R141" i="15"/>
  <c r="R210" i="15"/>
  <c r="R203" i="15"/>
  <c r="R202" i="15"/>
  <c r="R198" i="15"/>
  <c r="R194" i="15"/>
  <c r="R182" i="15"/>
  <c r="R223" i="15"/>
  <c r="R204" i="15"/>
  <c r="R188" i="15"/>
  <c r="R190" i="15"/>
  <c r="R187" i="15"/>
  <c r="R171" i="15"/>
  <c r="R111" i="15"/>
  <c r="R107" i="15"/>
  <c r="R103" i="15"/>
  <c r="R99" i="15"/>
  <c r="R95" i="15"/>
  <c r="R91" i="15"/>
  <c r="R87" i="15"/>
  <c r="R83" i="15"/>
  <c r="R79" i="15"/>
  <c r="R213" i="15"/>
  <c r="R211" i="15"/>
  <c r="R205" i="15"/>
  <c r="R179" i="15"/>
  <c r="R162" i="15"/>
  <c r="R138" i="15"/>
  <c r="R134" i="15"/>
  <c r="R130" i="15"/>
  <c r="R176" i="15"/>
  <c r="R166" i="15"/>
  <c r="R163" i="15"/>
  <c r="R143" i="15"/>
  <c r="R125" i="15"/>
  <c r="R121" i="15"/>
  <c r="R191" i="15"/>
  <c r="R180" i="15"/>
  <c r="R152" i="15"/>
  <c r="R112" i="15"/>
  <c r="R108" i="15"/>
  <c r="R104" i="15"/>
  <c r="R100" i="15"/>
  <c r="R96" i="15"/>
  <c r="R92" i="15"/>
  <c r="R88" i="15"/>
  <c r="R84" i="15"/>
  <c r="R80" i="15"/>
  <c r="R206" i="15"/>
  <c r="R167" i="15"/>
  <c r="R153" i="15"/>
  <c r="R139" i="15"/>
  <c r="R135" i="15"/>
  <c r="R131" i="15"/>
  <c r="R183" i="15"/>
  <c r="R126" i="15"/>
  <c r="R122" i="15"/>
  <c r="R212" i="15"/>
  <c r="R199" i="15"/>
  <c r="R177" i="15"/>
  <c r="R154" i="15"/>
  <c r="R144" i="15"/>
  <c r="R140" i="15"/>
  <c r="R118" i="15"/>
  <c r="R113" i="15"/>
  <c r="R109" i="15"/>
  <c r="R105" i="15"/>
  <c r="R101" i="15"/>
  <c r="R97" i="15"/>
  <c r="R93" i="15"/>
  <c r="R89" i="15"/>
  <c r="R85" i="15"/>
  <c r="R81" i="15"/>
  <c r="R160" i="15"/>
  <c r="R159" i="15"/>
  <c r="R145" i="15"/>
  <c r="R136" i="15"/>
  <c r="R132" i="15"/>
  <c r="R117" i="15"/>
  <c r="R195" i="15"/>
  <c r="R192" i="15"/>
  <c r="R186" i="15"/>
  <c r="R168" i="15"/>
  <c r="R127" i="15"/>
  <c r="R123" i="15"/>
  <c r="R119" i="15"/>
  <c r="P115" i="15"/>
  <c r="R193" i="15"/>
  <c r="R175" i="15"/>
  <c r="R170" i="15"/>
  <c r="R156" i="15"/>
  <c r="R151" i="15"/>
  <c r="R129" i="15"/>
  <c r="R128" i="15"/>
  <c r="R124" i="15"/>
  <c r="R120" i="15"/>
  <c r="X12" i="15"/>
  <c r="Z12" i="15" s="1"/>
  <c r="R178" i="15"/>
  <c r="R174" i="15"/>
  <c r="R155" i="15"/>
  <c r="R110" i="15"/>
  <c r="R106" i="15"/>
  <c r="R82" i="15"/>
  <c r="R78" i="15"/>
  <c r="R169" i="15"/>
  <c r="R102" i="15"/>
  <c r="R146" i="15"/>
  <c r="R98" i="15"/>
  <c r="R137" i="15"/>
  <c r="R133" i="15"/>
  <c r="R94" i="15"/>
  <c r="R189" i="15"/>
  <c r="R90" i="15"/>
  <c r="R161" i="15"/>
  <c r="R147" i="15"/>
  <c r="R86" i="15"/>
  <c r="T27" i="46"/>
  <c r="Z18" i="46"/>
  <c r="H27" i="46"/>
  <c r="N18" i="46"/>
  <c r="H27" i="37"/>
  <c r="N18" i="37"/>
  <c r="X18" i="32"/>
  <c r="P27" i="32"/>
  <c r="T27" i="38"/>
  <c r="Z18" i="38"/>
  <c r="P27" i="34"/>
  <c r="X18" i="34"/>
  <c r="L18" i="29"/>
  <c r="D27" i="29"/>
  <c r="L18" i="28"/>
  <c r="D27" i="28"/>
  <c r="H27" i="26"/>
  <c r="N18" i="26"/>
  <c r="L18" i="25"/>
  <c r="D27" i="25"/>
  <c r="T27" i="29"/>
  <c r="Z18" i="29"/>
  <c r="L18" i="13"/>
  <c r="D27" i="13"/>
  <c r="X18" i="8"/>
  <c r="P27" i="8"/>
  <c r="H27" i="23"/>
  <c r="N18" i="23"/>
  <c r="T33" i="55"/>
  <c r="Z16" i="55"/>
  <c r="F99" i="51"/>
  <c r="F97" i="51"/>
  <c r="F80" i="51"/>
  <c r="F79" i="51"/>
  <c r="F56" i="51"/>
  <c r="F52" i="51"/>
  <c r="F43" i="51"/>
  <c r="F39" i="51"/>
  <c r="F35" i="51"/>
  <c r="F90" i="51"/>
  <c r="F70" i="51"/>
  <c r="F66" i="51"/>
  <c r="F62" i="51"/>
  <c r="F103" i="51"/>
  <c r="F81" i="51"/>
  <c r="F57" i="51"/>
  <c r="F53" i="51"/>
  <c r="F72" i="51"/>
  <c r="F71" i="51"/>
  <c r="F44" i="51"/>
  <c r="F40" i="51"/>
  <c r="F36" i="51"/>
  <c r="F91" i="51"/>
  <c r="F83" i="51"/>
  <c r="F82" i="51"/>
  <c r="F67" i="51"/>
  <c r="F63" i="51"/>
  <c r="F74" i="51"/>
  <c r="F73" i="51"/>
  <c r="F58" i="51"/>
  <c r="F54" i="51"/>
  <c r="F50" i="51"/>
  <c r="F49" i="51"/>
  <c r="F93" i="51"/>
  <c r="F92" i="51"/>
  <c r="F85" i="51"/>
  <c r="F84" i="51"/>
  <c r="F48" i="51"/>
  <c r="F41" i="51"/>
  <c r="F37" i="51"/>
  <c r="F33" i="51"/>
  <c r="F32" i="51"/>
  <c r="F76" i="51"/>
  <c r="F75" i="51"/>
  <c r="F68" i="51"/>
  <c r="F64" i="51"/>
  <c r="D46" i="51"/>
  <c r="F46" i="51" s="1"/>
  <c r="L12" i="51"/>
  <c r="N12" i="51" s="1"/>
  <c r="F98" i="51"/>
  <c r="F89" i="51"/>
  <c r="F88" i="51"/>
  <c r="F69" i="51"/>
  <c r="F65" i="51"/>
  <c r="F61" i="51"/>
  <c r="F60" i="51"/>
  <c r="F42" i="51"/>
  <c r="F38" i="51"/>
  <c r="F34" i="51"/>
  <c r="F95" i="51"/>
  <c r="F59" i="51"/>
  <c r="F78" i="51"/>
  <c r="F86" i="51"/>
  <c r="F94" i="51"/>
  <c r="F51" i="51"/>
  <c r="F77" i="51"/>
  <c r="F87" i="51"/>
  <c r="F55" i="51"/>
  <c r="X18" i="35"/>
  <c r="P27" i="35"/>
  <c r="D27" i="22"/>
  <c r="L18" i="22"/>
  <c r="P26" i="54"/>
  <c r="X18" i="110"/>
  <c r="P27" i="110"/>
  <c r="L18" i="52"/>
  <c r="D27" i="52"/>
  <c r="H27" i="43"/>
  <c r="N18" i="43"/>
  <c r="L18" i="17"/>
  <c r="D27" i="17"/>
  <c r="T27" i="17"/>
  <c r="Z18" i="17"/>
  <c r="P27" i="29"/>
  <c r="X18" i="29"/>
  <c r="T27" i="16"/>
  <c r="Z18" i="16"/>
  <c r="P27" i="7"/>
  <c r="X18" i="7"/>
  <c r="R17" i="109"/>
  <c r="Z17" i="109"/>
  <c r="T71" i="109"/>
  <c r="T96" i="105"/>
  <c r="N17" i="98"/>
  <c r="H25" i="98"/>
  <c r="D85" i="91"/>
  <c r="L16" i="91"/>
  <c r="X16" i="89"/>
  <c r="P22" i="89"/>
  <c r="P80" i="93"/>
  <c r="X19" i="93"/>
  <c r="Z19" i="80"/>
  <c r="T70" i="80"/>
  <c r="T97" i="83"/>
  <c r="Z16" i="54"/>
  <c r="T22" i="54"/>
  <c r="H101" i="51"/>
  <c r="H74" i="57"/>
  <c r="N17" i="57"/>
  <c r="J23" i="45"/>
  <c r="R116" i="39"/>
  <c r="R109" i="39"/>
  <c r="R108" i="39"/>
  <c r="R88" i="39"/>
  <c r="R77" i="39"/>
  <c r="R76" i="39"/>
  <c r="R41" i="39"/>
  <c r="R40" i="39"/>
  <c r="R36" i="39"/>
  <c r="R32" i="39"/>
  <c r="P28" i="39"/>
  <c r="R119" i="39"/>
  <c r="R118" i="39"/>
  <c r="R103" i="39"/>
  <c r="R99" i="39"/>
  <c r="R95" i="39"/>
  <c r="R83" i="39"/>
  <c r="R67" i="39"/>
  <c r="R59" i="39"/>
  <c r="R120" i="39"/>
  <c r="R111" i="39"/>
  <c r="R110" i="39"/>
  <c r="R121" i="39"/>
  <c r="R89" i="39"/>
  <c r="R37" i="39"/>
  <c r="R33" i="39"/>
  <c r="R122" i="39"/>
  <c r="R112" i="39"/>
  <c r="R104" i="39"/>
  <c r="R100" i="39"/>
  <c r="R96" i="39"/>
  <c r="R85" i="39"/>
  <c r="R84" i="39"/>
  <c r="R69" i="39"/>
  <c r="R68" i="39"/>
  <c r="R60" i="39"/>
  <c r="R79" i="39"/>
  <c r="R52" i="39"/>
  <c r="R51" i="39"/>
  <c r="R47" i="39"/>
  <c r="R43" i="39"/>
  <c r="R113" i="39"/>
  <c r="R106" i="39"/>
  <c r="R105" i="39"/>
  <c r="R101" i="39"/>
  <c r="R97" i="39"/>
  <c r="R62" i="39"/>
  <c r="R61" i="39"/>
  <c r="R54" i="39"/>
  <c r="R53" i="39"/>
  <c r="R25" i="39"/>
  <c r="R126" i="39"/>
  <c r="R92" i="39"/>
  <c r="R80" i="39"/>
  <c r="R73" i="39"/>
  <c r="R72" i="39"/>
  <c r="R48" i="39"/>
  <c r="R44" i="39"/>
  <c r="R94" i="39"/>
  <c r="R93" i="39"/>
  <c r="R82" i="39"/>
  <c r="R81" i="39"/>
  <c r="R66" i="39"/>
  <c r="R65" i="39"/>
  <c r="R58" i="39"/>
  <c r="R57" i="39"/>
  <c r="R49" i="39"/>
  <c r="R45" i="39"/>
  <c r="R30" i="39"/>
  <c r="R28" i="39"/>
  <c r="R115" i="39"/>
  <c r="R75" i="39"/>
  <c r="R70" i="39"/>
  <c r="R46" i="39"/>
  <c r="R23" i="39"/>
  <c r="R64" i="39"/>
  <c r="X12" i="39"/>
  <c r="Z12" i="39" s="1"/>
  <c r="R91" i="39"/>
  <c r="R87" i="39"/>
  <c r="R50" i="39"/>
  <c r="R26" i="39"/>
  <c r="R107" i="39"/>
  <c r="R78" i="39"/>
  <c r="R71" i="39"/>
  <c r="R24" i="39"/>
  <c r="R98" i="39"/>
  <c r="R31" i="39"/>
  <c r="R55" i="39"/>
  <c r="R39" i="39"/>
  <c r="R35" i="39"/>
  <c r="R86" i="39"/>
  <c r="R114" i="39"/>
  <c r="R102" i="39"/>
  <c r="R74" i="39"/>
  <c r="R63" i="39"/>
  <c r="R56" i="39"/>
  <c r="R38" i="39"/>
  <c r="R34" i="39"/>
  <c r="R90" i="39"/>
  <c r="R42" i="39"/>
  <c r="H120" i="42"/>
  <c r="J25" i="42"/>
  <c r="P120" i="42"/>
  <c r="X25" i="42"/>
  <c r="F110" i="36"/>
  <c r="F109" i="36"/>
  <c r="F90" i="36"/>
  <c r="F29" i="36"/>
  <c r="F117" i="36"/>
  <c r="F105" i="36"/>
  <c r="F101" i="36"/>
  <c r="F77" i="36"/>
  <c r="F76" i="36"/>
  <c r="F65" i="36"/>
  <c r="F64" i="36"/>
  <c r="F57" i="36"/>
  <c r="F56" i="36"/>
  <c r="F49" i="36"/>
  <c r="F45" i="36"/>
  <c r="D27" i="36"/>
  <c r="F96" i="36"/>
  <c r="F84" i="36"/>
  <c r="F40" i="36"/>
  <c r="F36" i="36"/>
  <c r="F32" i="36"/>
  <c r="F119" i="36"/>
  <c r="F118" i="36"/>
  <c r="F111" i="36"/>
  <c r="F91" i="36"/>
  <c r="F79" i="36"/>
  <c r="F78" i="36"/>
  <c r="F67" i="36"/>
  <c r="F66" i="36"/>
  <c r="F59" i="36"/>
  <c r="F58" i="36"/>
  <c r="F23" i="36"/>
  <c r="F22" i="36"/>
  <c r="F106" i="36"/>
  <c r="F102" i="36"/>
  <c r="F98" i="36"/>
  <c r="F97" i="36"/>
  <c r="F86" i="36"/>
  <c r="F85" i="36"/>
  <c r="F50" i="36"/>
  <c r="F46" i="36"/>
  <c r="F42" i="36"/>
  <c r="F41" i="36"/>
  <c r="F122" i="36"/>
  <c r="F113" i="36"/>
  <c r="F112" i="36"/>
  <c r="F81" i="36"/>
  <c r="F80" i="36"/>
  <c r="F69" i="36"/>
  <c r="F68" i="36"/>
  <c r="F37" i="36"/>
  <c r="F33" i="36"/>
  <c r="F123" i="36"/>
  <c r="F121" i="36"/>
  <c r="F92" i="36"/>
  <c r="F60" i="36"/>
  <c r="F24" i="36"/>
  <c r="L12" i="36"/>
  <c r="N12" i="36" s="1"/>
  <c r="F124" i="36"/>
  <c r="F115" i="36"/>
  <c r="F114" i="36"/>
  <c r="F107" i="36"/>
  <c r="F103" i="36"/>
  <c r="F99" i="36"/>
  <c r="F87" i="36"/>
  <c r="F71" i="36"/>
  <c r="F70" i="36"/>
  <c r="F51" i="36"/>
  <c r="F47" i="36"/>
  <c r="F43" i="36"/>
  <c r="F125" i="36"/>
  <c r="F82" i="36"/>
  <c r="F38" i="36"/>
  <c r="F34" i="36"/>
  <c r="F129" i="36"/>
  <c r="F95" i="36"/>
  <c r="F94" i="36"/>
  <c r="F83" i="36"/>
  <c r="F104" i="36"/>
  <c r="F62" i="36"/>
  <c r="F53" i="36"/>
  <c r="F73" i="36"/>
  <c r="F30" i="36"/>
  <c r="F108" i="36"/>
  <c r="F89" i="36"/>
  <c r="F63" i="36"/>
  <c r="F54" i="36"/>
  <c r="F116" i="36"/>
  <c r="F74" i="36"/>
  <c r="F52" i="36"/>
  <c r="F31" i="36"/>
  <c r="F100" i="36"/>
  <c r="F72" i="36"/>
  <c r="F61" i="36"/>
  <c r="F93" i="36"/>
  <c r="F48" i="36"/>
  <c r="F25" i="36"/>
  <c r="F75" i="36"/>
  <c r="F39" i="36"/>
  <c r="F35" i="36"/>
  <c r="F88" i="36"/>
  <c r="F44" i="36"/>
  <c r="F55" i="36"/>
  <c r="H118" i="27"/>
  <c r="R113" i="27"/>
  <c r="F49" i="27"/>
  <c r="F45" i="27"/>
  <c r="F41" i="27"/>
  <c r="F37" i="27"/>
  <c r="F36" i="27"/>
  <c r="F120" i="27"/>
  <c r="F100" i="27"/>
  <c r="F92" i="27"/>
  <c r="F84" i="27"/>
  <c r="F83" i="27"/>
  <c r="F76" i="27"/>
  <c r="F72" i="27"/>
  <c r="F68" i="27"/>
  <c r="F67" i="27"/>
  <c r="F107" i="27"/>
  <c r="F63" i="27"/>
  <c r="F59" i="27"/>
  <c r="F102" i="27"/>
  <c r="F101" i="27"/>
  <c r="F94" i="27"/>
  <c r="F93" i="27"/>
  <c r="F86" i="27"/>
  <c r="F85" i="27"/>
  <c r="F50" i="27"/>
  <c r="F46" i="27"/>
  <c r="F42" i="27"/>
  <c r="F38" i="27"/>
  <c r="F109" i="27"/>
  <c r="F108" i="27"/>
  <c r="F77" i="27"/>
  <c r="F73" i="27"/>
  <c r="F69" i="27"/>
  <c r="F96" i="27"/>
  <c r="F95" i="27"/>
  <c r="F88" i="27"/>
  <c r="F87" i="27"/>
  <c r="F64" i="27"/>
  <c r="F60" i="27"/>
  <c r="F111" i="27"/>
  <c r="F110" i="27"/>
  <c r="F103" i="27"/>
  <c r="F79" i="27"/>
  <c r="F78" i="27"/>
  <c r="F51" i="27"/>
  <c r="F47" i="27"/>
  <c r="F43" i="27"/>
  <c r="F39" i="27"/>
  <c r="F74" i="27"/>
  <c r="F70" i="27"/>
  <c r="F114" i="27"/>
  <c r="F97" i="27"/>
  <c r="F89" i="27"/>
  <c r="F81" i="27"/>
  <c r="F80" i="27"/>
  <c r="F65" i="27"/>
  <c r="F61" i="27"/>
  <c r="F57" i="27"/>
  <c r="F56" i="27"/>
  <c r="F106" i="27"/>
  <c r="F105" i="27"/>
  <c r="F82" i="27"/>
  <c r="F55" i="27"/>
  <c r="F90" i="27"/>
  <c r="F98" i="27"/>
  <c r="D53" i="27"/>
  <c r="F53" i="27" s="1"/>
  <c r="F48" i="27"/>
  <c r="F71" i="27"/>
  <c r="F44" i="27"/>
  <c r="F40" i="27"/>
  <c r="F116" i="27"/>
  <c r="F104" i="27"/>
  <c r="F75" i="27"/>
  <c r="F58" i="27"/>
  <c r="F113" i="27"/>
  <c r="F91" i="27"/>
  <c r="F115" i="27"/>
  <c r="F99" i="27"/>
  <c r="F66" i="27"/>
  <c r="F62" i="27"/>
  <c r="L12" i="27"/>
  <c r="N12" i="27" s="1"/>
  <c r="L17" i="9"/>
  <c r="D103" i="9"/>
  <c r="D228" i="12"/>
  <c r="L119" i="12"/>
  <c r="F119" i="12"/>
  <c r="P28" i="108"/>
  <c r="X24" i="108"/>
  <c r="X18" i="112"/>
  <c r="P27" i="112"/>
  <c r="X18" i="46"/>
  <c r="P27" i="46"/>
  <c r="X18" i="44"/>
  <c r="P27" i="44"/>
  <c r="H27" i="29"/>
  <c r="N18" i="29"/>
  <c r="X18" i="23"/>
  <c r="P27" i="23"/>
  <c r="T27" i="19"/>
  <c r="Z18" i="19"/>
  <c r="X18" i="19"/>
  <c r="P27" i="19"/>
  <c r="X18" i="17"/>
  <c r="P27" i="17"/>
  <c r="L18" i="14"/>
  <c r="D27" i="14"/>
  <c r="H27" i="4"/>
  <c r="N18" i="4"/>
  <c r="H27" i="11"/>
  <c r="N18" i="11"/>
  <c r="T125" i="84"/>
  <c r="X19" i="72"/>
  <c r="Z19" i="72" s="1"/>
  <c r="P70" i="72"/>
  <c r="L18" i="53"/>
  <c r="D27" i="53"/>
  <c r="T27" i="10"/>
  <c r="Z18" i="10"/>
  <c r="T27" i="8"/>
  <c r="Z18" i="8"/>
  <c r="P96" i="105"/>
  <c r="X23" i="105"/>
  <c r="Z23" i="105" s="1"/>
  <c r="P85" i="97"/>
  <c r="X19" i="97"/>
  <c r="X18" i="111"/>
  <c r="P27" i="111"/>
  <c r="T27" i="47"/>
  <c r="Z18" i="47"/>
  <c r="L18" i="41"/>
  <c r="D27" i="41"/>
  <c r="T27" i="32"/>
  <c r="Z18" i="32"/>
  <c r="L18" i="37"/>
  <c r="D27" i="37"/>
  <c r="P27" i="40"/>
  <c r="X18" i="40"/>
  <c r="X18" i="14"/>
  <c r="P27" i="14"/>
  <c r="X19" i="107"/>
  <c r="Z19" i="107" s="1"/>
  <c r="P86" i="107"/>
  <c r="P58" i="102"/>
  <c r="X16" i="102"/>
  <c r="T60" i="99"/>
  <c r="T92" i="97"/>
  <c r="T99" i="95"/>
  <c r="Z23" i="95"/>
  <c r="D80" i="93"/>
  <c r="L19" i="93"/>
  <c r="L23" i="95"/>
  <c r="N23" i="95" s="1"/>
  <c r="D99" i="95"/>
  <c r="T82" i="92"/>
  <c r="L22" i="79"/>
  <c r="N22" i="79" s="1"/>
  <c r="D79" i="79"/>
  <c r="H70" i="80"/>
  <c r="N19" i="80"/>
  <c r="R44" i="82"/>
  <c r="R40" i="82"/>
  <c r="R36" i="82"/>
  <c r="R31" i="82"/>
  <c r="R27" i="82"/>
  <c r="P23" i="82"/>
  <c r="R23" i="82" s="1"/>
  <c r="R45" i="82"/>
  <c r="R41" i="82"/>
  <c r="R37" i="82"/>
  <c r="R18" i="82"/>
  <c r="R42" i="82"/>
  <c r="R38" i="82"/>
  <c r="R51" i="82"/>
  <c r="R33" i="82"/>
  <c r="R29" i="82"/>
  <c r="R20" i="82"/>
  <c r="R47" i="82"/>
  <c r="R32" i="82"/>
  <c r="R30" i="82"/>
  <c r="R25" i="82"/>
  <c r="X12" i="82"/>
  <c r="Z12" i="82" s="1"/>
  <c r="R28" i="82"/>
  <c r="R26" i="82"/>
  <c r="R43" i="82"/>
  <c r="R39" i="82"/>
  <c r="R21" i="82"/>
  <c r="R19" i="82"/>
  <c r="R34" i="82"/>
  <c r="R35" i="82"/>
  <c r="H149" i="74"/>
  <c r="J76" i="74"/>
  <c r="T79" i="79"/>
  <c r="T79" i="56"/>
  <c r="X79" i="56" s="1"/>
  <c r="Z17" i="56"/>
  <c r="L17" i="57"/>
  <c r="D74" i="57"/>
  <c r="H22" i="54"/>
  <c r="N16" i="54"/>
  <c r="L33" i="55"/>
  <c r="D37" i="55"/>
  <c r="T105" i="51"/>
  <c r="R114" i="42"/>
  <c r="F75" i="33"/>
  <c r="F74" i="33"/>
  <c r="F51" i="33"/>
  <c r="F47" i="33"/>
  <c r="F43" i="33"/>
  <c r="F70" i="33"/>
  <c r="F62" i="33"/>
  <c r="F38" i="33"/>
  <c r="F34" i="33"/>
  <c r="F77" i="33"/>
  <c r="F76" i="33"/>
  <c r="F53" i="33"/>
  <c r="F52" i="33"/>
  <c r="F64" i="33"/>
  <c r="F63" i="33"/>
  <c r="F48" i="33"/>
  <c r="F44" i="33"/>
  <c r="L12" i="33"/>
  <c r="N12" i="33" s="1"/>
  <c r="F80" i="33"/>
  <c r="F71" i="33"/>
  <c r="F55" i="33"/>
  <c r="F54" i="33"/>
  <c r="F39" i="33"/>
  <c r="F35" i="33"/>
  <c r="F65" i="33"/>
  <c r="F57" i="33"/>
  <c r="F56" i="33"/>
  <c r="F49" i="33"/>
  <c r="F45" i="33"/>
  <c r="F84" i="33"/>
  <c r="F72" i="33"/>
  <c r="F40" i="33"/>
  <c r="F36" i="33"/>
  <c r="F32" i="33"/>
  <c r="F31" i="33"/>
  <c r="F67" i="33"/>
  <c r="F66" i="33"/>
  <c r="F59" i="33"/>
  <c r="F58" i="33"/>
  <c r="F30" i="33"/>
  <c r="F26" i="33"/>
  <c r="F50" i="33"/>
  <c r="F41" i="33"/>
  <c r="D28" i="33"/>
  <c r="F69" i="33"/>
  <c r="F37" i="33"/>
  <c r="F46" i="33"/>
  <c r="F73" i="33"/>
  <c r="F61" i="33"/>
  <c r="F79" i="33"/>
  <c r="F42" i="33"/>
  <c r="F68" i="33"/>
  <c r="F60" i="33"/>
  <c r="F33" i="33"/>
  <c r="H221" i="15"/>
  <c r="T221" i="15"/>
  <c r="V115" i="15"/>
  <c r="J115" i="15"/>
  <c r="X16" i="108"/>
  <c r="X18" i="53"/>
  <c r="P27" i="53"/>
  <c r="X18" i="49"/>
  <c r="P27" i="49"/>
  <c r="T27" i="44"/>
  <c r="Z18" i="44"/>
  <c r="H27" i="49"/>
  <c r="N18" i="49"/>
  <c r="X18" i="43"/>
  <c r="P27" i="43"/>
  <c r="L18" i="44"/>
  <c r="D27" i="44"/>
  <c r="H27" i="32"/>
  <c r="N18" i="32"/>
  <c r="T27" i="26"/>
  <c r="Z18" i="26"/>
  <c r="X18" i="22"/>
  <c r="P27" i="22"/>
  <c r="H27" i="14"/>
  <c r="N18" i="14"/>
  <c r="X18" i="11"/>
  <c r="P27" i="11"/>
  <c r="P27" i="5"/>
  <c r="X18" i="5"/>
  <c r="L18" i="4"/>
  <c r="D27" i="4"/>
  <c r="F104" i="84"/>
  <c r="F92" i="84"/>
  <c r="F72" i="84"/>
  <c r="F71" i="84"/>
  <c r="F64" i="84"/>
  <c r="F60" i="84"/>
  <c r="F99" i="84"/>
  <c r="F98" i="84"/>
  <c r="F119" i="84"/>
  <c r="F110" i="84"/>
  <c r="F74" i="84"/>
  <c r="F73" i="84"/>
  <c r="F112" i="84"/>
  <c r="F111" i="84"/>
  <c r="F100" i="84"/>
  <c r="F76" i="84"/>
  <c r="F75" i="84"/>
  <c r="F95" i="84"/>
  <c r="F94" i="84"/>
  <c r="F114" i="84"/>
  <c r="F113" i="84"/>
  <c r="F106" i="84"/>
  <c r="F102" i="84"/>
  <c r="F101" i="84"/>
  <c r="F78" i="84"/>
  <c r="F77" i="84"/>
  <c r="F66" i="84"/>
  <c r="F62" i="84"/>
  <c r="F96" i="84"/>
  <c r="F117" i="84"/>
  <c r="F116" i="84"/>
  <c r="F109" i="84"/>
  <c r="F108" i="84"/>
  <c r="F59" i="84"/>
  <c r="F85" i="84"/>
  <c r="F54" i="84"/>
  <c r="F50" i="84"/>
  <c r="F105" i="84"/>
  <c r="F81" i="84"/>
  <c r="F63" i="84"/>
  <c r="F41" i="84"/>
  <c r="F37" i="84"/>
  <c r="F67" i="84"/>
  <c r="F107" i="84"/>
  <c r="F97" i="84"/>
  <c r="F55" i="84"/>
  <c r="F51" i="84"/>
  <c r="F47" i="84"/>
  <c r="F46" i="84"/>
  <c r="F123" i="84"/>
  <c r="F115" i="84"/>
  <c r="F90" i="84"/>
  <c r="F86" i="84"/>
  <c r="F68" i="84"/>
  <c r="F45" i="84"/>
  <c r="F38" i="84"/>
  <c r="F87" i="84"/>
  <c r="F82" i="84"/>
  <c r="F79" i="84"/>
  <c r="F57" i="84"/>
  <c r="F56" i="84"/>
  <c r="D43" i="84"/>
  <c r="F43" i="84" s="1"/>
  <c r="F93" i="84"/>
  <c r="F83" i="84"/>
  <c r="F69" i="84"/>
  <c r="F61" i="84"/>
  <c r="F52" i="84"/>
  <c r="F48" i="84"/>
  <c r="F91" i="84"/>
  <c r="F39" i="84"/>
  <c r="F103" i="84"/>
  <c r="F89" i="84"/>
  <c r="F84" i="84"/>
  <c r="F40" i="84"/>
  <c r="F36" i="84"/>
  <c r="F35" i="84"/>
  <c r="F53" i="84"/>
  <c r="F70" i="84"/>
  <c r="L12" i="84"/>
  <c r="N12" i="84" s="1"/>
  <c r="F65" i="84"/>
  <c r="F88" i="84"/>
  <c r="F58" i="84"/>
  <c r="F49" i="84"/>
  <c r="F80" i="84"/>
  <c r="R113" i="84"/>
  <c r="R112" i="84"/>
  <c r="R101" i="84"/>
  <c r="R100" i="84"/>
  <c r="R77" i="84"/>
  <c r="R76" i="84"/>
  <c r="R95" i="84"/>
  <c r="R114" i="84"/>
  <c r="R106" i="84"/>
  <c r="R102" i="84"/>
  <c r="R79" i="84"/>
  <c r="R78" i="84"/>
  <c r="R96" i="84"/>
  <c r="R80" i="84"/>
  <c r="R116" i="84"/>
  <c r="R115" i="84"/>
  <c r="R108" i="84"/>
  <c r="R107" i="84"/>
  <c r="R103" i="84"/>
  <c r="R91" i="84"/>
  <c r="R71" i="84"/>
  <c r="R70" i="84"/>
  <c r="R117" i="84"/>
  <c r="R109" i="84"/>
  <c r="R119" i="84"/>
  <c r="R104" i="84"/>
  <c r="R92" i="84"/>
  <c r="R123" i="84"/>
  <c r="R105" i="84"/>
  <c r="R86" i="84"/>
  <c r="R82" i="84"/>
  <c r="R60" i="84"/>
  <c r="R56" i="84"/>
  <c r="R55" i="84"/>
  <c r="R51" i="84"/>
  <c r="R47" i="84"/>
  <c r="P43" i="84"/>
  <c r="R97" i="84"/>
  <c r="R90" i="84"/>
  <c r="R72" i="84"/>
  <c r="R68" i="84"/>
  <c r="R38" i="84"/>
  <c r="R69" i="84"/>
  <c r="R64" i="84"/>
  <c r="R57" i="84"/>
  <c r="R111" i="84"/>
  <c r="R87" i="84"/>
  <c r="R73" i="84"/>
  <c r="R61" i="84"/>
  <c r="R52" i="84"/>
  <c r="R48" i="84"/>
  <c r="R98" i="84"/>
  <c r="R83" i="84"/>
  <c r="R39" i="84"/>
  <c r="R93" i="84"/>
  <c r="R88" i="84"/>
  <c r="R65" i="84"/>
  <c r="R58" i="84"/>
  <c r="R35" i="84"/>
  <c r="X12" i="84"/>
  <c r="Z12" i="84" s="1"/>
  <c r="R84" i="84"/>
  <c r="R53" i="84"/>
  <c r="R49" i="84"/>
  <c r="R62" i="84"/>
  <c r="R40" i="84"/>
  <c r="R36" i="84"/>
  <c r="R74" i="84"/>
  <c r="R59" i="84"/>
  <c r="R110" i="84"/>
  <c r="R85" i="84"/>
  <c r="R75" i="84"/>
  <c r="R45" i="84"/>
  <c r="R43" i="84"/>
  <c r="R94" i="84"/>
  <c r="R81" i="84"/>
  <c r="R89" i="84"/>
  <c r="R50" i="84"/>
  <c r="R37" i="84"/>
  <c r="R41" i="84"/>
  <c r="R54" i="84"/>
  <c r="R67" i="84"/>
  <c r="R63" i="84"/>
  <c r="R66" i="84"/>
  <c r="R99" i="84"/>
  <c r="R46" i="84"/>
  <c r="F43" i="82"/>
  <c r="F39" i="82"/>
  <c r="F21" i="82"/>
  <c r="F31" i="82"/>
  <c r="F27" i="82"/>
  <c r="F26" i="82"/>
  <c r="F45" i="82"/>
  <c r="F41" i="82"/>
  <c r="F37" i="82"/>
  <c r="D23" i="82"/>
  <c r="F32" i="82"/>
  <c r="F28" i="82"/>
  <c r="L12" i="82"/>
  <c r="N12" i="82" s="1"/>
  <c r="F51" i="82"/>
  <c r="F34" i="82"/>
  <c r="F29" i="82"/>
  <c r="F19" i="82"/>
  <c r="F47" i="82"/>
  <c r="F44" i="82"/>
  <c r="F35" i="82"/>
  <c r="F42" i="82"/>
  <c r="F40" i="82"/>
  <c r="F30" i="82"/>
  <c r="F23" i="82"/>
  <c r="F38" i="82"/>
  <c r="F36" i="82"/>
  <c r="F20" i="82"/>
  <c r="F25" i="82"/>
  <c r="F33" i="82"/>
  <c r="F18" i="82"/>
  <c r="T149" i="74"/>
  <c r="X19" i="80"/>
  <c r="P70" i="80"/>
  <c r="L18" i="69"/>
  <c r="D66" i="69"/>
  <c r="T117" i="70"/>
  <c r="D92" i="68"/>
  <c r="L35" i="68"/>
  <c r="N16" i="63"/>
  <c r="H100" i="63"/>
  <c r="T75" i="48"/>
  <c r="R122" i="36"/>
  <c r="R121" i="36"/>
  <c r="R106" i="36"/>
  <c r="R102" i="36"/>
  <c r="R98" i="36"/>
  <c r="R86" i="36"/>
  <c r="R50" i="36"/>
  <c r="R46" i="36"/>
  <c r="R42" i="36"/>
  <c r="R123" i="36"/>
  <c r="R114" i="36"/>
  <c r="R113" i="36"/>
  <c r="R81" i="36"/>
  <c r="R70" i="36"/>
  <c r="R69" i="36"/>
  <c r="R37" i="36"/>
  <c r="R33" i="36"/>
  <c r="R124" i="36"/>
  <c r="R92" i="36"/>
  <c r="R60" i="36"/>
  <c r="R24" i="36"/>
  <c r="X12" i="36"/>
  <c r="Z12" i="36" s="1"/>
  <c r="R125" i="36"/>
  <c r="R115" i="36"/>
  <c r="R107" i="36"/>
  <c r="R103" i="36"/>
  <c r="R99" i="36"/>
  <c r="R88" i="36"/>
  <c r="R87" i="36"/>
  <c r="R72" i="36"/>
  <c r="R71" i="36"/>
  <c r="R52" i="36"/>
  <c r="R51" i="36"/>
  <c r="R47" i="36"/>
  <c r="R43" i="36"/>
  <c r="R82" i="36"/>
  <c r="R38" i="36"/>
  <c r="R34" i="36"/>
  <c r="R94" i="36"/>
  <c r="R93" i="36"/>
  <c r="R89" i="36"/>
  <c r="R74" i="36"/>
  <c r="R73" i="36"/>
  <c r="R62" i="36"/>
  <c r="R61" i="36"/>
  <c r="R54" i="36"/>
  <c r="R53" i="36"/>
  <c r="R30" i="36"/>
  <c r="R116" i="36"/>
  <c r="R109" i="36"/>
  <c r="R108" i="36"/>
  <c r="R104" i="36"/>
  <c r="R100" i="36"/>
  <c r="R48" i="36"/>
  <c r="R44" i="36"/>
  <c r="R29" i="36"/>
  <c r="R129" i="36"/>
  <c r="R95" i="36"/>
  <c r="R83" i="36"/>
  <c r="R76" i="36"/>
  <c r="R75" i="36"/>
  <c r="R64" i="36"/>
  <c r="R63" i="36"/>
  <c r="R56" i="36"/>
  <c r="R55" i="36"/>
  <c r="R39" i="36"/>
  <c r="R35" i="36"/>
  <c r="R31" i="36"/>
  <c r="P27" i="36"/>
  <c r="R27" i="36" s="1"/>
  <c r="R110" i="36"/>
  <c r="R90" i="36"/>
  <c r="R119" i="36"/>
  <c r="R112" i="36"/>
  <c r="R111" i="36"/>
  <c r="R91" i="36"/>
  <c r="R80" i="36"/>
  <c r="R79" i="36"/>
  <c r="R85" i="36"/>
  <c r="R118" i="36"/>
  <c r="R96" i="36"/>
  <c r="R78" i="36"/>
  <c r="R67" i="36"/>
  <c r="R65" i="36"/>
  <c r="R36" i="36"/>
  <c r="R22" i="36"/>
  <c r="R105" i="36"/>
  <c r="R40" i="36"/>
  <c r="R68" i="36"/>
  <c r="R66" i="36"/>
  <c r="R59" i="36"/>
  <c r="R25" i="36"/>
  <c r="R97" i="36"/>
  <c r="R57" i="36"/>
  <c r="R77" i="36"/>
  <c r="R23" i="36"/>
  <c r="R117" i="36"/>
  <c r="R84" i="36"/>
  <c r="R101" i="36"/>
  <c r="R49" i="36"/>
  <c r="R45" i="36"/>
  <c r="R58" i="36"/>
  <c r="R32" i="36"/>
  <c r="R41" i="36"/>
  <c r="R230" i="12"/>
  <c r="R184" i="12"/>
  <c r="R177" i="12"/>
  <c r="R176" i="12"/>
  <c r="R168" i="12"/>
  <c r="R152" i="12"/>
  <c r="R116" i="12"/>
  <c r="R112" i="12"/>
  <c r="R108" i="12"/>
  <c r="R104" i="12"/>
  <c r="R100" i="12"/>
  <c r="R96" i="12"/>
  <c r="R92" i="12"/>
  <c r="R88" i="12"/>
  <c r="R84" i="12"/>
  <c r="R211" i="12"/>
  <c r="R195" i="12"/>
  <c r="R160" i="12"/>
  <c r="R159" i="12"/>
  <c r="R144" i="12"/>
  <c r="R143" i="12"/>
  <c r="R139" i="12"/>
  <c r="R135" i="12"/>
  <c r="R80" i="12"/>
  <c r="R219" i="12"/>
  <c r="R218" i="12"/>
  <c r="R206" i="12"/>
  <c r="R202" i="12"/>
  <c r="R191" i="12"/>
  <c r="R190" i="12"/>
  <c r="R179" i="12"/>
  <c r="R178" i="12"/>
  <c r="R130" i="12"/>
  <c r="R126" i="12"/>
  <c r="R186" i="12"/>
  <c r="R185" i="12"/>
  <c r="R169" i="12"/>
  <c r="R162" i="12"/>
  <c r="R161" i="12"/>
  <c r="R154" i="12"/>
  <c r="R153" i="12"/>
  <c r="R146" i="12"/>
  <c r="R145" i="12"/>
  <c r="R122" i="12"/>
  <c r="R117" i="12"/>
  <c r="R113" i="12"/>
  <c r="R109" i="12"/>
  <c r="R105" i="12"/>
  <c r="R101" i="12"/>
  <c r="R97" i="12"/>
  <c r="R93" i="12"/>
  <c r="R89" i="12"/>
  <c r="R85" i="12"/>
  <c r="R81" i="12"/>
  <c r="R220" i="12"/>
  <c r="R213" i="12"/>
  <c r="R212" i="12"/>
  <c r="R197" i="12"/>
  <c r="R196" i="12"/>
  <c r="R192" i="12"/>
  <c r="R181" i="12"/>
  <c r="R180" i="12"/>
  <c r="R140" i="12"/>
  <c r="R136" i="12"/>
  <c r="R121" i="12"/>
  <c r="X12" i="12"/>
  <c r="Z12" i="12" s="1"/>
  <c r="R223" i="12"/>
  <c r="R222" i="12"/>
  <c r="R207" i="12"/>
  <c r="R203" i="12"/>
  <c r="R187" i="12"/>
  <c r="R164" i="12"/>
  <c r="R163" i="12"/>
  <c r="R155" i="12"/>
  <c r="R147" i="12"/>
  <c r="R131" i="12"/>
  <c r="R127" i="12"/>
  <c r="R123" i="12"/>
  <c r="R224" i="12"/>
  <c r="R215" i="12"/>
  <c r="R214" i="12"/>
  <c r="R198" i="12"/>
  <c r="R182" i="12"/>
  <c r="R171" i="12"/>
  <c r="R170" i="12"/>
  <c r="R114" i="12"/>
  <c r="R110" i="12"/>
  <c r="R106" i="12"/>
  <c r="R102" i="12"/>
  <c r="R98" i="12"/>
  <c r="R94" i="12"/>
  <c r="R90" i="12"/>
  <c r="R86" i="12"/>
  <c r="R82" i="12"/>
  <c r="R225" i="12"/>
  <c r="R193" i="12"/>
  <c r="R165" i="12"/>
  <c r="R141" i="12"/>
  <c r="R137" i="12"/>
  <c r="R226" i="12"/>
  <c r="R216" i="12"/>
  <c r="R208" i="12"/>
  <c r="R204" i="12"/>
  <c r="R188" i="12"/>
  <c r="R173" i="12"/>
  <c r="R172" i="12"/>
  <c r="R157" i="12"/>
  <c r="R156" i="12"/>
  <c r="R149" i="12"/>
  <c r="R148" i="12"/>
  <c r="R133" i="12"/>
  <c r="R132" i="12"/>
  <c r="R128" i="12"/>
  <c r="R124" i="12"/>
  <c r="R217" i="12"/>
  <c r="R210" i="12"/>
  <c r="R209" i="12"/>
  <c r="R205" i="12"/>
  <c r="R201" i="12"/>
  <c r="R189" i="12"/>
  <c r="R129" i="12"/>
  <c r="R125" i="12"/>
  <c r="R83" i="12"/>
  <c r="R166" i="12"/>
  <c r="R99" i="12"/>
  <c r="R199" i="12"/>
  <c r="R142" i="12"/>
  <c r="R174" i="12"/>
  <c r="R115" i="12"/>
  <c r="R95" i="12"/>
  <c r="R167" i="12"/>
  <c r="R150" i="12"/>
  <c r="R194" i="12"/>
  <c r="R158" i="12"/>
  <c r="R151" i="12"/>
  <c r="R103" i="12"/>
  <c r="R87" i="12"/>
  <c r="R175" i="12"/>
  <c r="R134" i="12"/>
  <c r="P119" i="12"/>
  <c r="R111" i="12"/>
  <c r="R200" i="12"/>
  <c r="R91" i="12"/>
  <c r="R183" i="12"/>
  <c r="R138" i="12"/>
  <c r="R107" i="12"/>
  <c r="D263" i="3"/>
  <c r="L146" i="3"/>
  <c r="N146" i="3" s="1"/>
  <c r="L18" i="50"/>
  <c r="D27" i="50"/>
  <c r="H27" i="40"/>
  <c r="N18" i="40"/>
  <c r="L18" i="43"/>
  <c r="D27" i="43"/>
  <c r="H27" i="25"/>
  <c r="N18" i="25"/>
  <c r="T27" i="28"/>
  <c r="Z18" i="28"/>
  <c r="Z18" i="20"/>
  <c r="T27" i="20"/>
  <c r="L18" i="10"/>
  <c r="D27" i="10"/>
  <c r="X18" i="4"/>
  <c r="P27" i="4"/>
  <c r="T30" i="100"/>
  <c r="Z16" i="100"/>
  <c r="L21" i="83"/>
  <c r="N21" i="83" s="1"/>
  <c r="D90" i="83"/>
  <c r="D62" i="60"/>
  <c r="L58" i="60"/>
  <c r="T228" i="12"/>
  <c r="T27" i="112"/>
  <c r="Z18" i="112"/>
  <c r="T89" i="33"/>
  <c r="T106" i="21"/>
  <c r="Z24" i="21"/>
  <c r="R100" i="9"/>
  <c r="R90" i="9"/>
  <c r="R78" i="9"/>
  <c r="R67" i="9"/>
  <c r="R66" i="9"/>
  <c r="R59" i="9"/>
  <c r="R58" i="9"/>
  <c r="R50" i="9"/>
  <c r="R101" i="9"/>
  <c r="R85" i="9"/>
  <c r="R73" i="9"/>
  <c r="R41" i="9"/>
  <c r="R37" i="9"/>
  <c r="R33" i="9"/>
  <c r="R103" i="9"/>
  <c r="R68" i="9"/>
  <c r="R60" i="9"/>
  <c r="R92" i="9"/>
  <c r="R91" i="9"/>
  <c r="R80" i="9"/>
  <c r="R79" i="9"/>
  <c r="R52" i="9"/>
  <c r="R51" i="9"/>
  <c r="R20" i="9"/>
  <c r="R86" i="9"/>
  <c r="R74" i="9"/>
  <c r="R43" i="9"/>
  <c r="R42" i="9"/>
  <c r="R38" i="9"/>
  <c r="R34" i="9"/>
  <c r="R19" i="9"/>
  <c r="R17" i="9"/>
  <c r="R15" i="9"/>
  <c r="R110" i="9"/>
  <c r="R107" i="9"/>
  <c r="R45" i="9"/>
  <c r="R44" i="9"/>
  <c r="R95" i="9"/>
  <c r="R87" i="9"/>
  <c r="R75" i="9"/>
  <c r="R64" i="9"/>
  <c r="R63" i="9"/>
  <c r="R39" i="9"/>
  <c r="R35" i="9"/>
  <c r="R83" i="9"/>
  <c r="R82" i="9"/>
  <c r="R70" i="9"/>
  <c r="R55" i="9"/>
  <c r="R54" i="9"/>
  <c r="R47" i="9"/>
  <c r="R46" i="9"/>
  <c r="R30" i="9"/>
  <c r="R26" i="9"/>
  <c r="R22" i="9"/>
  <c r="X12" i="9"/>
  <c r="R99" i="9"/>
  <c r="R98" i="9"/>
  <c r="R76" i="9"/>
  <c r="R61" i="9"/>
  <c r="R57" i="9"/>
  <c r="R23" i="9"/>
  <c r="R21" i="9"/>
  <c r="R25" i="9"/>
  <c r="R48" i="9"/>
  <c r="R28" i="9"/>
  <c r="R94" i="9"/>
  <c r="R88" i="9"/>
  <c r="R77" i="9"/>
  <c r="R62" i="9"/>
  <c r="R27" i="9"/>
  <c r="R105" i="9"/>
  <c r="R96" i="9"/>
  <c r="R71" i="9"/>
  <c r="R53" i="9"/>
  <c r="R49" i="9"/>
  <c r="R31" i="9"/>
  <c r="R24" i="9"/>
  <c r="R69" i="9"/>
  <c r="R29" i="9"/>
  <c r="P17" i="9"/>
  <c r="R89" i="9"/>
  <c r="R81" i="9"/>
  <c r="R65" i="9"/>
  <c r="R40" i="9"/>
  <c r="R36" i="9"/>
  <c r="R32" i="9"/>
  <c r="R72" i="9"/>
  <c r="R56" i="9"/>
  <c r="R93" i="9"/>
  <c r="R84" i="9"/>
  <c r="T90" i="107"/>
  <c r="F89" i="105"/>
  <c r="F88" i="105"/>
  <c r="F73" i="105"/>
  <c r="F84" i="105"/>
  <c r="F90" i="105"/>
  <c r="F85" i="105"/>
  <c r="F75" i="105"/>
  <c r="F63" i="105"/>
  <c r="F62" i="105"/>
  <c r="F94" i="105"/>
  <c r="F80" i="105"/>
  <c r="F65" i="105"/>
  <c r="F57" i="105"/>
  <c r="F56" i="105"/>
  <c r="F33" i="105"/>
  <c r="F29" i="105"/>
  <c r="F69" i="105"/>
  <c r="F20" i="105"/>
  <c r="F87" i="105"/>
  <c r="F76" i="105"/>
  <c r="F66" i="105"/>
  <c r="F59" i="105"/>
  <c r="F58" i="105"/>
  <c r="F47" i="105"/>
  <c r="F43" i="105"/>
  <c r="F39" i="105"/>
  <c r="F83" i="105"/>
  <c r="F34" i="105"/>
  <c r="F30" i="105"/>
  <c r="F91" i="105"/>
  <c r="F77" i="105"/>
  <c r="F67" i="105"/>
  <c r="F61" i="105"/>
  <c r="F60" i="105"/>
  <c r="F49" i="105"/>
  <c r="F48" i="105"/>
  <c r="F21" i="105"/>
  <c r="F81" i="105"/>
  <c r="F70" i="105"/>
  <c r="F44" i="105"/>
  <c r="F40" i="105"/>
  <c r="F92" i="105"/>
  <c r="F78" i="105"/>
  <c r="F51" i="105"/>
  <c r="F50" i="105"/>
  <c r="F35" i="105"/>
  <c r="F31" i="105"/>
  <c r="F27" i="105"/>
  <c r="F26" i="105"/>
  <c r="F86" i="105"/>
  <c r="F74" i="105"/>
  <c r="F25" i="105"/>
  <c r="F23" i="105"/>
  <c r="F79" i="105"/>
  <c r="F68" i="105"/>
  <c r="F53" i="105"/>
  <c r="F52" i="105"/>
  <c r="F45" i="105"/>
  <c r="F41" i="105"/>
  <c r="D23" i="105"/>
  <c r="F72" i="105"/>
  <c r="F46" i="105"/>
  <c r="F42" i="105"/>
  <c r="F38" i="105"/>
  <c r="F37" i="105"/>
  <c r="F28" i="105"/>
  <c r="F82" i="105"/>
  <c r="F54" i="105"/>
  <c r="F32" i="105"/>
  <c r="F18" i="105"/>
  <c r="F71" i="105"/>
  <c r="F64" i="105"/>
  <c r="L12" i="105"/>
  <c r="N12" i="105" s="1"/>
  <c r="F36" i="105"/>
  <c r="F55" i="105"/>
  <c r="F19" i="105"/>
  <c r="F98" i="105"/>
  <c r="J23" i="103"/>
  <c r="H30" i="100"/>
  <c r="N16" i="100"/>
  <c r="T39" i="101"/>
  <c r="Z16" i="101"/>
  <c r="T79" i="94"/>
  <c r="Z21" i="94"/>
  <c r="D79" i="94"/>
  <c r="L21" i="94"/>
  <c r="H106" i="95"/>
  <c r="H92" i="91"/>
  <c r="J43" i="84"/>
  <c r="T86" i="75"/>
  <c r="L16" i="63"/>
  <c r="D100" i="63"/>
  <c r="P71" i="59"/>
  <c r="X16" i="59"/>
  <c r="T74" i="72"/>
  <c r="F126" i="39"/>
  <c r="F92" i="39"/>
  <c r="F91" i="39"/>
  <c r="F80" i="39"/>
  <c r="F72" i="39"/>
  <c r="F71" i="39"/>
  <c r="F48" i="39"/>
  <c r="F44" i="39"/>
  <c r="F107" i="39"/>
  <c r="F106" i="39"/>
  <c r="F87" i="39"/>
  <c r="F63" i="39"/>
  <c r="F62" i="39"/>
  <c r="F55" i="39"/>
  <c r="F54" i="39"/>
  <c r="F39" i="39"/>
  <c r="F35" i="39"/>
  <c r="F114" i="39"/>
  <c r="F102" i="39"/>
  <c r="F98" i="39"/>
  <c r="F93" i="39"/>
  <c r="F81" i="39"/>
  <c r="F65" i="39"/>
  <c r="F64" i="39"/>
  <c r="F57" i="39"/>
  <c r="F56" i="39"/>
  <c r="F49" i="39"/>
  <c r="F45" i="39"/>
  <c r="F116" i="39"/>
  <c r="F115" i="39"/>
  <c r="F108" i="39"/>
  <c r="F88" i="39"/>
  <c r="F76" i="39"/>
  <c r="F75" i="39"/>
  <c r="F40" i="39"/>
  <c r="F36" i="39"/>
  <c r="F32" i="39"/>
  <c r="F31" i="39"/>
  <c r="F103" i="39"/>
  <c r="F99" i="39"/>
  <c r="F95" i="39"/>
  <c r="F94" i="39"/>
  <c r="F83" i="39"/>
  <c r="F82" i="39"/>
  <c r="F67" i="39"/>
  <c r="F66" i="39"/>
  <c r="F59" i="39"/>
  <c r="F58" i="39"/>
  <c r="F30" i="39"/>
  <c r="F120" i="39"/>
  <c r="F118" i="39"/>
  <c r="F89" i="39"/>
  <c r="F37" i="39"/>
  <c r="F33" i="39"/>
  <c r="F121" i="39"/>
  <c r="F112" i="39"/>
  <c r="F111" i="39"/>
  <c r="F104" i="39"/>
  <c r="F100" i="39"/>
  <c r="F96" i="39"/>
  <c r="F84" i="39"/>
  <c r="F68" i="39"/>
  <c r="F60" i="39"/>
  <c r="F113" i="39"/>
  <c r="F105" i="39"/>
  <c r="F101" i="39"/>
  <c r="F97" i="39"/>
  <c r="F61" i="39"/>
  <c r="F53" i="39"/>
  <c r="F52" i="39"/>
  <c r="F25" i="39"/>
  <c r="F79" i="39"/>
  <c r="F42" i="39"/>
  <c r="F90" i="39"/>
  <c r="F46" i="39"/>
  <c r="F38" i="39"/>
  <c r="F34" i="39"/>
  <c r="F77" i="39"/>
  <c r="F70" i="39"/>
  <c r="L12" i="39"/>
  <c r="N12" i="39" s="1"/>
  <c r="F85" i="39"/>
  <c r="F50" i="39"/>
  <c r="F23" i="39"/>
  <c r="F26" i="39"/>
  <c r="F24" i="39"/>
  <c r="F122" i="39"/>
  <c r="F109" i="39"/>
  <c r="F78" i="39"/>
  <c r="F73" i="39"/>
  <c r="F43" i="39"/>
  <c r="F41" i="39"/>
  <c r="F110" i="39"/>
  <c r="F74" i="39"/>
  <c r="D28" i="39"/>
  <c r="F28" i="39" s="1"/>
  <c r="F86" i="39"/>
  <c r="F119" i="39"/>
  <c r="F69" i="39"/>
  <c r="F47" i="39"/>
  <c r="F51" i="39"/>
  <c r="R71" i="33"/>
  <c r="R56" i="33"/>
  <c r="R55" i="33"/>
  <c r="R39" i="33"/>
  <c r="R35" i="33"/>
  <c r="R31" i="33"/>
  <c r="R66" i="33"/>
  <c r="R65" i="33"/>
  <c r="R58" i="33"/>
  <c r="R57" i="33"/>
  <c r="R49" i="33"/>
  <c r="R45" i="33"/>
  <c r="R30" i="33"/>
  <c r="R26" i="33"/>
  <c r="R84" i="33"/>
  <c r="R72" i="33"/>
  <c r="R41" i="33"/>
  <c r="R40" i="33"/>
  <c r="R36" i="33"/>
  <c r="R32" i="33"/>
  <c r="P28" i="33"/>
  <c r="R28" i="33" s="1"/>
  <c r="R68" i="33"/>
  <c r="R67" i="33"/>
  <c r="R60" i="33"/>
  <c r="R59" i="33"/>
  <c r="R74" i="33"/>
  <c r="R73" i="33"/>
  <c r="R69" i="33"/>
  <c r="R61" i="33"/>
  <c r="R37" i="33"/>
  <c r="R33" i="33"/>
  <c r="R76" i="33"/>
  <c r="R75" i="33"/>
  <c r="R52" i="33"/>
  <c r="R51" i="33"/>
  <c r="R47" i="33"/>
  <c r="R43" i="33"/>
  <c r="R53" i="33"/>
  <c r="R44" i="33"/>
  <c r="R34" i="33"/>
  <c r="R79" i="33"/>
  <c r="R42" i="33"/>
  <c r="R70" i="33"/>
  <c r="R38" i="33"/>
  <c r="R64" i="33"/>
  <c r="R54" i="33"/>
  <c r="R62" i="33"/>
  <c r="X12" i="33"/>
  <c r="Z12" i="33" s="1"/>
  <c r="R80" i="33"/>
  <c r="R63" i="33"/>
  <c r="R48" i="33"/>
  <c r="R46" i="33"/>
  <c r="R77" i="33"/>
  <c r="R50" i="33"/>
  <c r="H131" i="36"/>
  <c r="T131" i="36"/>
  <c r="H244" i="18"/>
  <c r="Z17" i="9"/>
  <c r="T103" i="9"/>
  <c r="H27" i="110"/>
  <c r="N18" i="110"/>
  <c r="L18" i="110"/>
  <c r="D27" i="110"/>
  <c r="L18" i="112"/>
  <c r="D27" i="112"/>
  <c r="H27" i="52"/>
  <c r="N18" i="52"/>
  <c r="L18" i="47"/>
  <c r="D27" i="47"/>
  <c r="T27" i="41"/>
  <c r="Z18" i="41"/>
  <c r="Z18" i="40"/>
  <c r="T27" i="40"/>
  <c r="H27" i="35"/>
  <c r="N18" i="35"/>
  <c r="H27" i="20"/>
  <c r="N18" i="20"/>
  <c r="X18" i="37"/>
  <c r="P27" i="37"/>
  <c r="H27" i="16"/>
  <c r="N18" i="16"/>
  <c r="H27" i="13"/>
  <c r="N18" i="13"/>
  <c r="X18" i="10"/>
  <c r="P27" i="10"/>
  <c r="L18" i="8"/>
  <c r="D27" i="8"/>
  <c r="D27" i="7"/>
  <c r="L18" i="7"/>
  <c r="D27" i="5"/>
  <c r="L18" i="5"/>
  <c r="H27" i="10"/>
  <c r="N18" i="10"/>
  <c r="X20" i="85"/>
  <c r="Z20" i="85" s="1"/>
  <c r="P28" i="85"/>
  <c r="T92" i="68"/>
  <c r="D25" i="98"/>
  <c r="L17" i="98"/>
  <c r="T98" i="87"/>
  <c r="T32" i="85"/>
  <c r="H106" i="21"/>
  <c r="L24" i="21"/>
  <c r="N24" i="21" s="1"/>
  <c r="Z16" i="88"/>
  <c r="T32" i="88"/>
  <c r="V28" i="85"/>
  <c r="Z16" i="102"/>
  <c r="T58" i="102"/>
  <c r="H96" i="105"/>
  <c r="H43" i="101"/>
  <c r="P99" i="95"/>
  <c r="X23" i="95"/>
  <c r="P79" i="94"/>
  <c r="X21" i="94"/>
  <c r="T80" i="93"/>
  <c r="Z19" i="93"/>
  <c r="H22" i="89"/>
  <c r="N16" i="89"/>
  <c r="R80" i="75"/>
  <c r="R79" i="75"/>
  <c r="R64" i="75"/>
  <c r="R48" i="75"/>
  <c r="R44" i="75"/>
  <c r="X12" i="75"/>
  <c r="Z12" i="75" s="1"/>
  <c r="R71" i="75"/>
  <c r="R56" i="75"/>
  <c r="R55" i="75"/>
  <c r="R39" i="75"/>
  <c r="R35" i="75"/>
  <c r="R31" i="75"/>
  <c r="R66" i="75"/>
  <c r="R65" i="75"/>
  <c r="R58" i="75"/>
  <c r="R57" i="75"/>
  <c r="R49" i="75"/>
  <c r="R45" i="75"/>
  <c r="R30" i="75"/>
  <c r="R28" i="75"/>
  <c r="R26" i="75"/>
  <c r="R84" i="75"/>
  <c r="R72" i="75"/>
  <c r="R41" i="75"/>
  <c r="R40" i="75"/>
  <c r="R36" i="75"/>
  <c r="R32" i="75"/>
  <c r="P28" i="75"/>
  <c r="R68" i="75"/>
  <c r="R67" i="75"/>
  <c r="R60" i="75"/>
  <c r="R59" i="75"/>
  <c r="R50" i="75"/>
  <c r="R46" i="75"/>
  <c r="R42" i="75"/>
  <c r="R74" i="75"/>
  <c r="R73" i="75"/>
  <c r="R69" i="75"/>
  <c r="R61" i="75"/>
  <c r="R37" i="75"/>
  <c r="R33" i="75"/>
  <c r="R77" i="75"/>
  <c r="R54" i="75"/>
  <c r="R53" i="75"/>
  <c r="R47" i="75"/>
  <c r="R43" i="75"/>
  <c r="R70" i="75"/>
  <c r="R76" i="75"/>
  <c r="R63" i="75"/>
  <c r="R52" i="75"/>
  <c r="R34" i="75"/>
  <c r="R38" i="75"/>
  <c r="R51" i="75"/>
  <c r="R62" i="75"/>
  <c r="R75" i="75"/>
  <c r="Z18" i="69"/>
  <c r="T66" i="69"/>
  <c r="P70" i="69"/>
  <c r="X66" i="69"/>
  <c r="R48" i="70"/>
  <c r="R44" i="70"/>
  <c r="R40" i="70"/>
  <c r="R36" i="70"/>
  <c r="R100" i="70"/>
  <c r="R99" i="70"/>
  <c r="R92" i="70"/>
  <c r="R91" i="70"/>
  <c r="R84" i="70"/>
  <c r="R83" i="70"/>
  <c r="R75" i="70"/>
  <c r="R71" i="70"/>
  <c r="R67" i="70"/>
  <c r="R107" i="70"/>
  <c r="R106" i="70"/>
  <c r="R62" i="70"/>
  <c r="R58" i="70"/>
  <c r="R101" i="70"/>
  <c r="R94" i="70"/>
  <c r="R93" i="70"/>
  <c r="R86" i="70"/>
  <c r="R85" i="70"/>
  <c r="R49" i="70"/>
  <c r="R45" i="70"/>
  <c r="R41" i="70"/>
  <c r="R37" i="70"/>
  <c r="R119" i="70"/>
  <c r="R109" i="70"/>
  <c r="R108" i="70"/>
  <c r="R77" i="70"/>
  <c r="R76" i="70"/>
  <c r="R72" i="70"/>
  <c r="R68" i="70"/>
  <c r="R95" i="70"/>
  <c r="R87" i="70"/>
  <c r="R63" i="70"/>
  <c r="R59" i="70"/>
  <c r="R110" i="70"/>
  <c r="R102" i="70"/>
  <c r="R79" i="70"/>
  <c r="R78" i="70"/>
  <c r="R55" i="70"/>
  <c r="R50" i="70"/>
  <c r="R46" i="70"/>
  <c r="R42" i="70"/>
  <c r="R38" i="70"/>
  <c r="R113" i="70"/>
  <c r="R112" i="70"/>
  <c r="R73" i="70"/>
  <c r="R69" i="70"/>
  <c r="R54" i="70"/>
  <c r="R52" i="70"/>
  <c r="R114" i="70"/>
  <c r="R97" i="70"/>
  <c r="R96" i="70"/>
  <c r="R89" i="70"/>
  <c r="R88" i="70"/>
  <c r="R80" i="70"/>
  <c r="R64" i="70"/>
  <c r="R60" i="70"/>
  <c r="R56" i="70"/>
  <c r="P52" i="70"/>
  <c r="R105" i="70"/>
  <c r="R82" i="70"/>
  <c r="R81" i="70"/>
  <c r="R66" i="70"/>
  <c r="R65" i="70"/>
  <c r="R61" i="70"/>
  <c r="R57" i="70"/>
  <c r="R70" i="70"/>
  <c r="R74" i="70"/>
  <c r="X12" i="70"/>
  <c r="Z12" i="70" s="1"/>
  <c r="R115" i="70"/>
  <c r="R103" i="70"/>
  <c r="R35" i="70"/>
  <c r="R98" i="70"/>
  <c r="R90" i="70"/>
  <c r="R39" i="70"/>
  <c r="R43" i="70"/>
  <c r="R104" i="70"/>
  <c r="R47" i="70"/>
  <c r="X16" i="58"/>
  <c r="P76" i="58"/>
  <c r="D80" i="58"/>
  <c r="R73" i="51"/>
  <c r="R72" i="51"/>
  <c r="R49" i="51"/>
  <c r="R44" i="51"/>
  <c r="R40" i="51"/>
  <c r="R36" i="51"/>
  <c r="R92" i="51"/>
  <c r="R91" i="51"/>
  <c r="R84" i="51"/>
  <c r="R83" i="51"/>
  <c r="R67" i="51"/>
  <c r="R63" i="51"/>
  <c r="R48" i="51"/>
  <c r="R46" i="51"/>
  <c r="R32" i="51"/>
  <c r="R75" i="51"/>
  <c r="R74" i="51"/>
  <c r="R58" i="51"/>
  <c r="R54" i="51"/>
  <c r="R50" i="51"/>
  <c r="P46" i="51"/>
  <c r="R94" i="51"/>
  <c r="R93" i="51"/>
  <c r="R86" i="51"/>
  <c r="R85" i="51"/>
  <c r="R41" i="51"/>
  <c r="R37" i="51"/>
  <c r="R33" i="51"/>
  <c r="R77" i="51"/>
  <c r="R76" i="51"/>
  <c r="R68" i="51"/>
  <c r="R64" i="51"/>
  <c r="X12" i="51"/>
  <c r="Z12" i="51" s="1"/>
  <c r="R95" i="51"/>
  <c r="R88" i="51"/>
  <c r="R87" i="51"/>
  <c r="R60" i="51"/>
  <c r="R59" i="51"/>
  <c r="R55" i="51"/>
  <c r="R51" i="51"/>
  <c r="R98" i="51"/>
  <c r="R97" i="51"/>
  <c r="R79" i="51"/>
  <c r="R78" i="51"/>
  <c r="R42" i="51"/>
  <c r="R38" i="51"/>
  <c r="R34" i="51"/>
  <c r="R99" i="51"/>
  <c r="R89" i="51"/>
  <c r="R69" i="51"/>
  <c r="R65" i="51"/>
  <c r="R61" i="51"/>
  <c r="R80" i="51"/>
  <c r="R56" i="51"/>
  <c r="R52" i="51"/>
  <c r="R103" i="51"/>
  <c r="R82" i="51"/>
  <c r="R81" i="51"/>
  <c r="R57" i="51"/>
  <c r="R53" i="51"/>
  <c r="R70" i="51"/>
  <c r="R43" i="51"/>
  <c r="R39" i="51"/>
  <c r="R35" i="51"/>
  <c r="R90" i="51"/>
  <c r="R71" i="51"/>
  <c r="R62" i="51"/>
  <c r="R66" i="51"/>
  <c r="F58" i="48"/>
  <c r="F57" i="48"/>
  <c r="F49" i="48"/>
  <c r="F48" i="48"/>
  <c r="F64" i="48"/>
  <c r="F40" i="48"/>
  <c r="F36" i="48"/>
  <c r="F32" i="48"/>
  <c r="F31" i="48"/>
  <c r="F59" i="48"/>
  <c r="F27" i="48"/>
  <c r="F23" i="48"/>
  <c r="F66" i="48"/>
  <c r="F65" i="48"/>
  <c r="F50" i="48"/>
  <c r="F41" i="48"/>
  <c r="F37" i="48"/>
  <c r="F33" i="48"/>
  <c r="F69" i="48"/>
  <c r="F60" i="48"/>
  <c r="F52" i="48"/>
  <c r="F51" i="48"/>
  <c r="F28" i="48"/>
  <c r="F24" i="48"/>
  <c r="F68" i="48"/>
  <c r="F43" i="48"/>
  <c r="F42" i="48"/>
  <c r="F54" i="48"/>
  <c r="F53" i="48"/>
  <c r="F38" i="48"/>
  <c r="F34" i="48"/>
  <c r="F47" i="48"/>
  <c r="F45" i="48"/>
  <c r="F35" i="48"/>
  <c r="F15" i="48"/>
  <c r="F62" i="48"/>
  <c r="F29" i="48"/>
  <c r="F17" i="48"/>
  <c r="L12" i="48"/>
  <c r="N12" i="48" s="1"/>
  <c r="F56" i="48"/>
  <c r="F39" i="48"/>
  <c r="F25" i="48"/>
  <c r="F19" i="48"/>
  <c r="D17" i="48"/>
  <c r="F21" i="48"/>
  <c r="F20" i="48"/>
  <c r="F73" i="48"/>
  <c r="F63" i="48"/>
  <c r="F46" i="48"/>
  <c r="F55" i="48"/>
  <c r="F22" i="48"/>
  <c r="F61" i="48"/>
  <c r="F26" i="48"/>
  <c r="F30" i="48"/>
  <c r="F44" i="48"/>
  <c r="T120" i="42"/>
  <c r="Z25" i="42"/>
  <c r="T108" i="45"/>
  <c r="V105" i="45"/>
  <c r="D101" i="45"/>
  <c r="L23" i="45"/>
  <c r="N23" i="45" s="1"/>
  <c r="P71" i="48"/>
  <c r="X17" i="48"/>
  <c r="Z17" i="48" s="1"/>
  <c r="V25" i="42"/>
  <c r="R82" i="24"/>
  <c r="R67" i="24"/>
  <c r="R66" i="24"/>
  <c r="R30" i="24"/>
  <c r="R26" i="24"/>
  <c r="X12" i="24"/>
  <c r="Z12" i="24" s="1"/>
  <c r="R77" i="24"/>
  <c r="R58" i="24"/>
  <c r="R57" i="24"/>
  <c r="R53" i="24"/>
  <c r="R49" i="24"/>
  <c r="R94" i="24"/>
  <c r="R69" i="24"/>
  <c r="R68" i="24"/>
  <c r="R44" i="24"/>
  <c r="R40" i="24"/>
  <c r="R84" i="24"/>
  <c r="R83" i="24"/>
  <c r="R60" i="24"/>
  <c r="R59" i="24"/>
  <c r="R31" i="24"/>
  <c r="R27" i="24"/>
  <c r="R79" i="24"/>
  <c r="R78" i="24"/>
  <c r="R71" i="24"/>
  <c r="R70" i="24"/>
  <c r="R54" i="24"/>
  <c r="R50" i="24"/>
  <c r="R80" i="24"/>
  <c r="R73" i="24"/>
  <c r="R72" i="24"/>
  <c r="R32" i="24"/>
  <c r="R28" i="24"/>
  <c r="R64" i="24"/>
  <c r="R63" i="24"/>
  <c r="R55" i="24"/>
  <c r="R51" i="24"/>
  <c r="R87" i="24"/>
  <c r="R86" i="24"/>
  <c r="R74" i="24"/>
  <c r="R47" i="24"/>
  <c r="R46" i="24"/>
  <c r="R42" i="24"/>
  <c r="R76" i="24"/>
  <c r="R52" i="24"/>
  <c r="R88" i="24"/>
  <c r="R56" i="24"/>
  <c r="R61" i="24"/>
  <c r="R33" i="24"/>
  <c r="R90" i="24"/>
  <c r="R39" i="24"/>
  <c r="R37" i="24"/>
  <c r="R45" i="24"/>
  <c r="R43" i="24"/>
  <c r="R41" i="24"/>
  <c r="R62" i="24"/>
  <c r="R29" i="24"/>
  <c r="R25" i="24"/>
  <c r="R81" i="24"/>
  <c r="P35" i="24"/>
  <c r="R85" i="24"/>
  <c r="R75" i="24"/>
  <c r="R48" i="24"/>
  <c r="R35" i="24"/>
  <c r="R65" i="24"/>
  <c r="R38" i="24"/>
  <c r="T244" i="18"/>
  <c r="V137" i="18"/>
  <c r="T263" i="3"/>
  <c r="H107" i="9"/>
  <c r="H228" i="12"/>
  <c r="N119" i="12"/>
  <c r="H263" i="3"/>
  <c r="L18" i="111"/>
  <c r="D27" i="111"/>
  <c r="H27" i="112"/>
  <c r="N18" i="112"/>
  <c r="H27" i="53"/>
  <c r="N18" i="53"/>
  <c r="T27" i="50"/>
  <c r="Z18" i="50"/>
  <c r="T27" i="49"/>
  <c r="Z18" i="49"/>
  <c r="T27" i="53"/>
  <c r="Z18" i="53"/>
  <c r="H27" i="34"/>
  <c r="N18" i="34"/>
  <c r="N18" i="38"/>
  <c r="H27" i="38"/>
  <c r="H27" i="31"/>
  <c r="N18" i="31"/>
  <c r="H27" i="28"/>
  <c r="N18" i="28"/>
  <c r="T27" i="25"/>
  <c r="Z18" i="25"/>
  <c r="X18" i="25"/>
  <c r="P27" i="25"/>
  <c r="H27" i="22"/>
  <c r="N18" i="22"/>
  <c r="L18" i="26"/>
  <c r="D27" i="26"/>
  <c r="P27" i="16"/>
  <c r="X18" i="16"/>
  <c r="Z18" i="7"/>
  <c r="T27" i="7"/>
  <c r="L18" i="11"/>
  <c r="D27" i="11"/>
  <c r="F73" i="109"/>
  <c r="F61" i="109"/>
  <c r="F45" i="109"/>
  <c r="F44" i="109"/>
  <c r="F29" i="109"/>
  <c r="F25" i="109"/>
  <c r="F21" i="109"/>
  <c r="F20" i="109"/>
  <c r="F56" i="109"/>
  <c r="F55" i="109"/>
  <c r="F19" i="109"/>
  <c r="F17" i="109"/>
  <c r="F15" i="109"/>
  <c r="F63" i="109"/>
  <c r="F62" i="109"/>
  <c r="F47" i="109"/>
  <c r="F46" i="109"/>
  <c r="F39" i="109"/>
  <c r="F35" i="109"/>
  <c r="D17" i="109"/>
  <c r="F58" i="109"/>
  <c r="F57" i="109"/>
  <c r="F30" i="109"/>
  <c r="F26" i="109"/>
  <c r="F22" i="109"/>
  <c r="L12" i="109"/>
  <c r="N12" i="109" s="1"/>
  <c r="F49" i="109"/>
  <c r="F48" i="109"/>
  <c r="F64" i="109"/>
  <c r="F40" i="109"/>
  <c r="F36" i="109"/>
  <c r="F32" i="109"/>
  <c r="F31" i="109"/>
  <c r="F59" i="109"/>
  <c r="F27" i="109"/>
  <c r="F23" i="109"/>
  <c r="F66" i="109"/>
  <c r="F65" i="109"/>
  <c r="F50" i="109"/>
  <c r="F41" i="109"/>
  <c r="F37" i="109"/>
  <c r="F33" i="109"/>
  <c r="F69" i="109"/>
  <c r="F60" i="109"/>
  <c r="F52" i="109"/>
  <c r="F51" i="109"/>
  <c r="F28" i="109"/>
  <c r="F24" i="109"/>
  <c r="F68" i="109"/>
  <c r="F54" i="109"/>
  <c r="F43" i="109"/>
  <c r="F34" i="109"/>
  <c r="F38" i="109"/>
  <c r="F53" i="109"/>
  <c r="F42" i="109"/>
  <c r="T25" i="98"/>
  <c r="Z17" i="98"/>
  <c r="H32" i="88"/>
  <c r="N16" i="88"/>
  <c r="T92" i="91"/>
  <c r="H94" i="83"/>
  <c r="P89" i="91"/>
  <c r="X85" i="91"/>
  <c r="Z85" i="91" s="1"/>
  <c r="T49" i="82"/>
  <c r="V23" i="82"/>
  <c r="F90" i="76"/>
  <c r="F70" i="76"/>
  <c r="F66" i="76"/>
  <c r="F62" i="76"/>
  <c r="F103" i="76"/>
  <c r="F81" i="76"/>
  <c r="F57" i="76"/>
  <c r="F53" i="76"/>
  <c r="F72" i="76"/>
  <c r="F71" i="76"/>
  <c r="F44" i="76"/>
  <c r="F40" i="76"/>
  <c r="F74" i="76"/>
  <c r="F73" i="76"/>
  <c r="F58" i="76"/>
  <c r="F93" i="76"/>
  <c r="F92" i="76"/>
  <c r="F76" i="76"/>
  <c r="F75" i="76"/>
  <c r="F68" i="76"/>
  <c r="F64" i="76"/>
  <c r="D46" i="76"/>
  <c r="F46" i="76" s="1"/>
  <c r="F95" i="76"/>
  <c r="F94" i="76"/>
  <c r="F87" i="76"/>
  <c r="F86" i="76"/>
  <c r="F59" i="76"/>
  <c r="F55" i="76"/>
  <c r="F51" i="76"/>
  <c r="F78" i="76"/>
  <c r="F77" i="76"/>
  <c r="F42" i="76"/>
  <c r="F38" i="76"/>
  <c r="F34" i="76"/>
  <c r="F61" i="76"/>
  <c r="F52" i="76"/>
  <c r="F37" i="76"/>
  <c r="F50" i="76"/>
  <c r="F43" i="76"/>
  <c r="F89" i="76"/>
  <c r="F82" i="76"/>
  <c r="F91" i="76"/>
  <c r="F85" i="76"/>
  <c r="F80" i="76"/>
  <c r="F48" i="76"/>
  <c r="F41" i="76"/>
  <c r="F98" i="76"/>
  <c r="F35" i="76"/>
  <c r="F83" i="76"/>
  <c r="F69" i="76"/>
  <c r="F49" i="76"/>
  <c r="F32" i="76"/>
  <c r="F88" i="76"/>
  <c r="F67" i="76"/>
  <c r="F60" i="76"/>
  <c r="F39" i="76"/>
  <c r="L12" i="76"/>
  <c r="N12" i="76" s="1"/>
  <c r="F97" i="76"/>
  <c r="F84" i="76"/>
  <c r="F63" i="76"/>
  <c r="F54" i="76"/>
  <c r="F33" i="76"/>
  <c r="F56" i="76"/>
  <c r="F79" i="76"/>
  <c r="F36" i="76"/>
  <c r="F65" i="76"/>
  <c r="F99" i="76"/>
  <c r="F75" i="75"/>
  <c r="F74" i="75"/>
  <c r="F51" i="75"/>
  <c r="F47" i="75"/>
  <c r="F43" i="75"/>
  <c r="F70" i="75"/>
  <c r="F62" i="75"/>
  <c r="F38" i="75"/>
  <c r="F34" i="75"/>
  <c r="F77" i="75"/>
  <c r="F76" i="75"/>
  <c r="F53" i="75"/>
  <c r="F52" i="75"/>
  <c r="F64" i="75"/>
  <c r="F63" i="75"/>
  <c r="F48" i="75"/>
  <c r="F44" i="75"/>
  <c r="L12" i="75"/>
  <c r="N12" i="75" s="1"/>
  <c r="F80" i="75"/>
  <c r="F71" i="75"/>
  <c r="F55" i="75"/>
  <c r="F54" i="75"/>
  <c r="F39" i="75"/>
  <c r="F35" i="75"/>
  <c r="F79" i="75"/>
  <c r="F65" i="75"/>
  <c r="F57" i="75"/>
  <c r="F56" i="75"/>
  <c r="F49" i="75"/>
  <c r="F45" i="75"/>
  <c r="F84" i="75"/>
  <c r="F72" i="75"/>
  <c r="F40" i="75"/>
  <c r="F36" i="75"/>
  <c r="F32" i="75"/>
  <c r="F31" i="75"/>
  <c r="F73" i="75"/>
  <c r="F69" i="75"/>
  <c r="F68" i="75"/>
  <c r="F61" i="75"/>
  <c r="F60" i="75"/>
  <c r="F37" i="75"/>
  <c r="F33" i="75"/>
  <c r="F66" i="75"/>
  <c r="F30" i="75"/>
  <c r="F41" i="75"/>
  <c r="F28" i="75"/>
  <c r="F59" i="75"/>
  <c r="D28" i="75"/>
  <c r="F50" i="75"/>
  <c r="F42" i="75"/>
  <c r="F26" i="75"/>
  <c r="F58" i="75"/>
  <c r="F67" i="75"/>
  <c r="F46" i="75"/>
  <c r="H92" i="68"/>
  <c r="N35" i="68"/>
  <c r="J35" i="68"/>
  <c r="N16" i="61"/>
  <c r="H60" i="61"/>
  <c r="Z16" i="60"/>
  <c r="T58" i="60"/>
  <c r="H62" i="60"/>
  <c r="N58" i="60"/>
  <c r="D79" i="56"/>
  <c r="L17" i="56"/>
  <c r="D120" i="42"/>
  <c r="L25" i="42"/>
  <c r="N25" i="42" s="1"/>
  <c r="T128" i="39"/>
  <c r="H128" i="39"/>
  <c r="J124" i="39"/>
  <c r="J24" i="21"/>
  <c r="X77" i="30"/>
  <c r="P167" i="30"/>
  <c r="T96" i="24"/>
  <c r="V92" i="24"/>
  <c r="R251" i="3"/>
  <c r="R250" i="3"/>
  <c r="R238" i="3"/>
  <c r="R234" i="3"/>
  <c r="R218" i="3"/>
  <c r="R203" i="3"/>
  <c r="R202" i="3"/>
  <c r="R195" i="3"/>
  <c r="R194" i="3"/>
  <c r="R186" i="3"/>
  <c r="R171" i="3"/>
  <c r="R170" i="3"/>
  <c r="R166" i="3"/>
  <c r="R162" i="3"/>
  <c r="R99" i="3"/>
  <c r="R190" i="3"/>
  <c r="R125" i="3"/>
  <c r="R105" i="3"/>
  <c r="R193" i="3"/>
  <c r="R169" i="3"/>
  <c r="R200" i="3"/>
  <c r="R185" i="3"/>
  <c r="R152" i="3"/>
  <c r="R265" i="3"/>
  <c r="R230" i="3"/>
  <c r="R229" i="3"/>
  <c r="R213" i="3"/>
  <c r="R157" i="3"/>
  <c r="R153" i="3"/>
  <c r="R182" i="3"/>
  <c r="R249" i="3"/>
  <c r="R242" i="3"/>
  <c r="R177" i="3"/>
  <c r="R270" i="3"/>
  <c r="R269" i="3"/>
  <c r="R252" i="3"/>
  <c r="R245" i="3"/>
  <c r="R244" i="3"/>
  <c r="R224" i="3"/>
  <c r="R205" i="3"/>
  <c r="R204" i="3"/>
  <c r="R196" i="3"/>
  <c r="R180" i="3"/>
  <c r="R173" i="3"/>
  <c r="R172" i="3"/>
  <c r="R149" i="3"/>
  <c r="R144" i="3"/>
  <c r="R140" i="3"/>
  <c r="R136" i="3"/>
  <c r="R132" i="3"/>
  <c r="R128" i="3"/>
  <c r="R124" i="3"/>
  <c r="R120" i="3"/>
  <c r="R116" i="3"/>
  <c r="R112" i="3"/>
  <c r="R108" i="3"/>
  <c r="R104" i="3"/>
  <c r="R100" i="3"/>
  <c r="R121" i="3"/>
  <c r="R109" i="3"/>
  <c r="R101" i="3"/>
  <c r="R255" i="3"/>
  <c r="R254" i="3"/>
  <c r="R239" i="3"/>
  <c r="R235" i="3"/>
  <c r="R231" i="3"/>
  <c r="R219" i="3"/>
  <c r="R188" i="3"/>
  <c r="R187" i="3"/>
  <c r="R167" i="3"/>
  <c r="R163" i="3"/>
  <c r="R148" i="3"/>
  <c r="R146" i="3"/>
  <c r="R189" i="3"/>
  <c r="R141" i="3"/>
  <c r="R113" i="3"/>
  <c r="R233" i="3"/>
  <c r="R228" i="3"/>
  <c r="R184" i="3"/>
  <c r="R256" i="3"/>
  <c r="R247" i="3"/>
  <c r="R246" i="3"/>
  <c r="R214" i="3"/>
  <c r="R207" i="3"/>
  <c r="R206" i="3"/>
  <c r="R174" i="3"/>
  <c r="R158" i="3"/>
  <c r="R154" i="3"/>
  <c r="R150" i="3"/>
  <c r="P146" i="3"/>
  <c r="X12" i="3"/>
  <c r="Z12" i="3" s="1"/>
  <c r="R181" i="3"/>
  <c r="R137" i="3"/>
  <c r="R133" i="3"/>
  <c r="R129" i="3"/>
  <c r="R117" i="3"/>
  <c r="R241" i="3"/>
  <c r="R237" i="3"/>
  <c r="R217" i="3"/>
  <c r="R212" i="3"/>
  <c r="R257" i="3"/>
  <c r="R225" i="3"/>
  <c r="R197" i="3"/>
  <c r="R258" i="3"/>
  <c r="R248" i="3"/>
  <c r="R240" i="3"/>
  <c r="R236" i="3"/>
  <c r="R232" i="3"/>
  <c r="R221" i="3"/>
  <c r="R220" i="3"/>
  <c r="R209" i="3"/>
  <c r="R208" i="3"/>
  <c r="R168" i="3"/>
  <c r="R164" i="3"/>
  <c r="R161" i="3"/>
  <c r="R259" i="3"/>
  <c r="R216" i="3"/>
  <c r="R215" i="3"/>
  <c r="R192" i="3"/>
  <c r="R191" i="3"/>
  <c r="R183" i="3"/>
  <c r="R176" i="3"/>
  <c r="R175" i="3"/>
  <c r="R160" i="3"/>
  <c r="R159" i="3"/>
  <c r="R155" i="3"/>
  <c r="R151" i="3"/>
  <c r="R165" i="3"/>
  <c r="R156" i="3"/>
  <c r="R260" i="3"/>
  <c r="R227" i="3"/>
  <c r="R226" i="3"/>
  <c r="R222" i="3"/>
  <c r="R211" i="3"/>
  <c r="R210" i="3"/>
  <c r="R199" i="3"/>
  <c r="R198" i="3"/>
  <c r="R142" i="3"/>
  <c r="R138" i="3"/>
  <c r="R134" i="3"/>
  <c r="R130" i="3"/>
  <c r="R126" i="3"/>
  <c r="R122" i="3"/>
  <c r="R118" i="3"/>
  <c r="R114" i="3"/>
  <c r="R110" i="3"/>
  <c r="R106" i="3"/>
  <c r="R102" i="3"/>
  <c r="R261" i="3"/>
  <c r="R178" i="3"/>
  <c r="R243" i="3"/>
  <c r="R223" i="3"/>
  <c r="R179" i="3"/>
  <c r="R143" i="3"/>
  <c r="R139" i="3"/>
  <c r="R135" i="3"/>
  <c r="R131" i="3"/>
  <c r="R127" i="3"/>
  <c r="R123" i="3"/>
  <c r="R119" i="3"/>
  <c r="R115" i="3"/>
  <c r="R111" i="3"/>
  <c r="R107" i="3"/>
  <c r="R103" i="3"/>
  <c r="R201" i="3"/>
  <c r="H27" i="111"/>
  <c r="N18" i="111"/>
  <c r="T27" i="52"/>
  <c r="Z18" i="52"/>
  <c r="X18" i="52"/>
  <c r="P27" i="52"/>
  <c r="X18" i="47"/>
  <c r="P27" i="47"/>
  <c r="P27" i="38"/>
  <c r="X18" i="38"/>
  <c r="L18" i="32"/>
  <c r="D27" i="32"/>
  <c r="T27" i="22"/>
  <c r="Z18" i="22"/>
  <c r="X18" i="26"/>
  <c r="P27" i="26"/>
  <c r="P27" i="28"/>
  <c r="X18" i="28"/>
  <c r="L18" i="20"/>
  <c r="D27" i="20"/>
  <c r="L18" i="19"/>
  <c r="D27" i="19"/>
  <c r="H27" i="7"/>
  <c r="N18" i="7"/>
  <c r="H27" i="5"/>
  <c r="N18" i="5"/>
  <c r="T101" i="76"/>
  <c r="Z17" i="57"/>
  <c r="T74" i="57"/>
  <c r="X53" i="27"/>
  <c r="P118" i="27"/>
  <c r="H56" i="99"/>
  <c r="N16" i="99"/>
  <c r="P39" i="101"/>
  <c r="X16" i="101"/>
  <c r="X16" i="63"/>
  <c r="P100" i="63"/>
  <c r="L22" i="54"/>
  <c r="D26" i="54"/>
  <c r="D43" i="101"/>
  <c r="L39" i="101"/>
  <c r="N39" i="101" s="1"/>
  <c r="X16" i="100"/>
  <c r="F75" i="107"/>
  <c r="F71" i="107"/>
  <c r="F70" i="107"/>
  <c r="F63" i="107"/>
  <c r="F62" i="107"/>
  <c r="F51" i="107"/>
  <c r="F50" i="107"/>
  <c r="F82" i="107"/>
  <c r="F81" i="107"/>
  <c r="F42" i="107"/>
  <c r="F38" i="107"/>
  <c r="F34" i="107"/>
  <c r="F33" i="107"/>
  <c r="F93" i="107"/>
  <c r="F65" i="107"/>
  <c r="F64" i="107"/>
  <c r="F53" i="107"/>
  <c r="F52" i="107"/>
  <c r="F29" i="107"/>
  <c r="F25" i="107"/>
  <c r="F76" i="107"/>
  <c r="F72" i="107"/>
  <c r="L12" i="107"/>
  <c r="N12" i="107" s="1"/>
  <c r="F86" i="107"/>
  <c r="F84" i="107"/>
  <c r="F67" i="107"/>
  <c r="F66" i="107"/>
  <c r="F55" i="107"/>
  <c r="F54" i="107"/>
  <c r="F43" i="107"/>
  <c r="F39" i="107"/>
  <c r="F35" i="107"/>
  <c r="F30" i="107"/>
  <c r="F26" i="107"/>
  <c r="F88" i="107"/>
  <c r="F77" i="107"/>
  <c r="F73" i="107"/>
  <c r="F57" i="107"/>
  <c r="F56" i="107"/>
  <c r="F45" i="107"/>
  <c r="F44" i="107"/>
  <c r="F17" i="107"/>
  <c r="F16" i="107"/>
  <c r="F68" i="107"/>
  <c r="F40" i="107"/>
  <c r="F36" i="107"/>
  <c r="F79" i="107"/>
  <c r="F78" i="107"/>
  <c r="F59" i="107"/>
  <c r="F58" i="107"/>
  <c r="F47" i="107"/>
  <c r="F46" i="107"/>
  <c r="F31" i="107"/>
  <c r="F27" i="107"/>
  <c r="F23" i="107"/>
  <c r="F22" i="107"/>
  <c r="F80" i="107"/>
  <c r="F32" i="107"/>
  <c r="F28" i="107"/>
  <c r="F24" i="107"/>
  <c r="F60" i="107"/>
  <c r="F19" i="107"/>
  <c r="F48" i="107"/>
  <c r="D19" i="107"/>
  <c r="F74" i="107"/>
  <c r="F61" i="107"/>
  <c r="F49" i="107"/>
  <c r="F69" i="107"/>
  <c r="F37" i="107"/>
  <c r="F41" i="107"/>
  <c r="F90" i="107"/>
  <c r="F21" i="107"/>
  <c r="H90" i="107"/>
  <c r="X16" i="106"/>
  <c r="P22" i="106"/>
  <c r="R23" i="105"/>
  <c r="P34" i="100"/>
  <c r="X30" i="100"/>
  <c r="H83" i="94"/>
  <c r="H80" i="93"/>
  <c r="N19" i="93"/>
  <c r="D26" i="89"/>
  <c r="L22" i="89"/>
  <c r="V121" i="84"/>
  <c r="H70" i="72"/>
  <c r="J19" i="72"/>
  <c r="R151" i="74"/>
  <c r="R140" i="74"/>
  <c r="R139" i="74"/>
  <c r="R128" i="74"/>
  <c r="R127" i="74"/>
  <c r="R111" i="74"/>
  <c r="R100" i="74"/>
  <c r="R99" i="74"/>
  <c r="R95" i="74"/>
  <c r="R91" i="74"/>
  <c r="R52" i="74"/>
  <c r="R122" i="74"/>
  <c r="R86" i="74"/>
  <c r="R82" i="74"/>
  <c r="R141" i="74"/>
  <c r="R133" i="74"/>
  <c r="R129" i="74"/>
  <c r="R102" i="74"/>
  <c r="R101" i="74"/>
  <c r="R73" i="74"/>
  <c r="R69" i="74"/>
  <c r="R65" i="74"/>
  <c r="R61" i="74"/>
  <c r="R57" i="74"/>
  <c r="R53" i="74"/>
  <c r="R113" i="74"/>
  <c r="R112" i="74"/>
  <c r="R123" i="74"/>
  <c r="R104" i="74"/>
  <c r="R103" i="74"/>
  <c r="R87" i="74"/>
  <c r="R83" i="74"/>
  <c r="R142" i="74"/>
  <c r="R134" i="74"/>
  <c r="R130" i="74"/>
  <c r="R115" i="74"/>
  <c r="R114" i="74"/>
  <c r="R79" i="74"/>
  <c r="R74" i="74"/>
  <c r="R70" i="74"/>
  <c r="R66" i="74"/>
  <c r="R62" i="74"/>
  <c r="R58" i="74"/>
  <c r="R54" i="74"/>
  <c r="R145" i="74"/>
  <c r="R144" i="74"/>
  <c r="R106" i="74"/>
  <c r="R105" i="74"/>
  <c r="R97" i="74"/>
  <c r="R93" i="74"/>
  <c r="R78" i="74"/>
  <c r="R146" i="74"/>
  <c r="R125" i="74"/>
  <c r="R124" i="74"/>
  <c r="R117" i="74"/>
  <c r="R116" i="74"/>
  <c r="R89" i="74"/>
  <c r="R88" i="74"/>
  <c r="R84" i="74"/>
  <c r="R80" i="74"/>
  <c r="P76" i="74"/>
  <c r="R76" i="74" s="1"/>
  <c r="R147" i="74"/>
  <c r="R136" i="74"/>
  <c r="R135" i="74"/>
  <c r="R131" i="74"/>
  <c r="R108" i="74"/>
  <c r="R107" i="74"/>
  <c r="R71" i="74"/>
  <c r="R67" i="74"/>
  <c r="R63" i="74"/>
  <c r="R59" i="74"/>
  <c r="R55" i="74"/>
  <c r="R132" i="74"/>
  <c r="R121" i="74"/>
  <c r="R120" i="74"/>
  <c r="R72" i="74"/>
  <c r="R68" i="74"/>
  <c r="R64" i="74"/>
  <c r="R60" i="74"/>
  <c r="R56" i="74"/>
  <c r="X12" i="74"/>
  <c r="Z12" i="74" s="1"/>
  <c r="R126" i="74"/>
  <c r="R119" i="74"/>
  <c r="R110" i="74"/>
  <c r="R137" i="74"/>
  <c r="R81" i="74"/>
  <c r="R90" i="74"/>
  <c r="R96" i="74"/>
  <c r="R94" i="74"/>
  <c r="R92" i="74"/>
  <c r="R118" i="74"/>
  <c r="R98" i="74"/>
  <c r="R138" i="74"/>
  <c r="R109" i="74"/>
  <c r="R85" i="74"/>
  <c r="F113" i="70"/>
  <c r="F96" i="70"/>
  <c r="F88" i="70"/>
  <c r="F80" i="70"/>
  <c r="F79" i="70"/>
  <c r="F64" i="70"/>
  <c r="F60" i="70"/>
  <c r="F56" i="70"/>
  <c r="F55" i="70"/>
  <c r="F114" i="70"/>
  <c r="F112" i="70"/>
  <c r="F103" i="70"/>
  <c r="F54" i="70"/>
  <c r="F47" i="70"/>
  <c r="F43" i="70"/>
  <c r="F39" i="70"/>
  <c r="F115" i="70"/>
  <c r="F98" i="70"/>
  <c r="F97" i="70"/>
  <c r="F90" i="70"/>
  <c r="F89" i="70"/>
  <c r="F74" i="70"/>
  <c r="F70" i="70"/>
  <c r="D52" i="70"/>
  <c r="L12" i="70"/>
  <c r="N12" i="70" s="1"/>
  <c r="F105" i="70"/>
  <c r="F104" i="70"/>
  <c r="F81" i="70"/>
  <c r="F65" i="70"/>
  <c r="F61" i="70"/>
  <c r="F57" i="70"/>
  <c r="F48" i="70"/>
  <c r="F44" i="70"/>
  <c r="F40" i="70"/>
  <c r="F36" i="70"/>
  <c r="F35" i="70"/>
  <c r="F99" i="70"/>
  <c r="F91" i="70"/>
  <c r="F83" i="70"/>
  <c r="F82" i="70"/>
  <c r="F75" i="70"/>
  <c r="F71" i="70"/>
  <c r="F67" i="70"/>
  <c r="F66" i="70"/>
  <c r="F106" i="70"/>
  <c r="F62" i="70"/>
  <c r="F58" i="70"/>
  <c r="F119" i="70"/>
  <c r="F101" i="70"/>
  <c r="F100" i="70"/>
  <c r="F93" i="70"/>
  <c r="F92" i="70"/>
  <c r="F85" i="70"/>
  <c r="F84" i="70"/>
  <c r="F49" i="70"/>
  <c r="F45" i="70"/>
  <c r="F41" i="70"/>
  <c r="F37" i="70"/>
  <c r="F108" i="70"/>
  <c r="F107" i="70"/>
  <c r="F76" i="70"/>
  <c r="F72" i="70"/>
  <c r="F68" i="70"/>
  <c r="F73" i="70"/>
  <c r="F69" i="70"/>
  <c r="F102" i="70"/>
  <c r="F59" i="70"/>
  <c r="F110" i="70"/>
  <c r="F78" i="70"/>
  <c r="F63" i="70"/>
  <c r="F95" i="70"/>
  <c r="F87" i="70"/>
  <c r="F50" i="70"/>
  <c r="F46" i="70"/>
  <c r="F42" i="70"/>
  <c r="F38" i="70"/>
  <c r="F94" i="70"/>
  <c r="F86" i="70"/>
  <c r="F77" i="70"/>
  <c r="F109" i="70"/>
  <c r="H70" i="69"/>
  <c r="N66" i="69"/>
  <c r="D64" i="61"/>
  <c r="H76" i="58"/>
  <c r="N16" i="58"/>
  <c r="H83" i="56"/>
  <c r="T118" i="27"/>
  <c r="Z53" i="27"/>
  <c r="F86" i="24"/>
  <c r="F74" i="24"/>
  <c r="F73" i="24"/>
  <c r="F46" i="24"/>
  <c r="F42" i="24"/>
  <c r="F81" i="24"/>
  <c r="F65" i="24"/>
  <c r="F64" i="24"/>
  <c r="F33" i="24"/>
  <c r="F29" i="24"/>
  <c r="F88" i="24"/>
  <c r="F87" i="24"/>
  <c r="F56" i="24"/>
  <c r="F52" i="24"/>
  <c r="F48" i="24"/>
  <c r="F47" i="24"/>
  <c r="F75" i="24"/>
  <c r="F43" i="24"/>
  <c r="F39" i="24"/>
  <c r="F38" i="24"/>
  <c r="F82" i="24"/>
  <c r="F66" i="24"/>
  <c r="F37" i="24"/>
  <c r="F35" i="24"/>
  <c r="F30" i="24"/>
  <c r="F26" i="24"/>
  <c r="F25" i="24"/>
  <c r="L12" i="24"/>
  <c r="N12" i="24" s="1"/>
  <c r="F94" i="24"/>
  <c r="F68" i="24"/>
  <c r="F67" i="24"/>
  <c r="F44" i="24"/>
  <c r="F40" i="24"/>
  <c r="F83" i="24"/>
  <c r="F59" i="24"/>
  <c r="F58" i="24"/>
  <c r="F31" i="24"/>
  <c r="F27" i="24"/>
  <c r="F78" i="24"/>
  <c r="F70" i="24"/>
  <c r="F69" i="24"/>
  <c r="F54" i="24"/>
  <c r="F50" i="24"/>
  <c r="D35" i="24"/>
  <c r="F99" i="24"/>
  <c r="F92" i="24"/>
  <c r="F60" i="24"/>
  <c r="F32" i="24"/>
  <c r="F63" i="24"/>
  <c r="F80" i="24"/>
  <c r="F76" i="24"/>
  <c r="F96" i="24"/>
  <c r="F28" i="24"/>
  <c r="F84" i="24"/>
  <c r="F72" i="24"/>
  <c r="F49" i="24"/>
  <c r="F61" i="24"/>
  <c r="F51" i="24"/>
  <c r="F77" i="24"/>
  <c r="F53" i="24"/>
  <c r="F45" i="24"/>
  <c r="F41" i="24"/>
  <c r="F85" i="24"/>
  <c r="F71" i="24"/>
  <c r="F62" i="24"/>
  <c r="F90" i="24"/>
  <c r="F79" i="24"/>
  <c r="F55" i="24"/>
  <c r="F57" i="24"/>
  <c r="R242" i="18"/>
  <c r="R215" i="18"/>
  <c r="R214" i="18"/>
  <c r="R198" i="18"/>
  <c r="R158" i="18"/>
  <c r="R154" i="18"/>
  <c r="R139" i="18"/>
  <c r="R137" i="18"/>
  <c r="R209" i="18"/>
  <c r="R182" i="18"/>
  <c r="R181" i="18"/>
  <c r="R173" i="18"/>
  <c r="R165" i="18"/>
  <c r="R149" i="18"/>
  <c r="R145" i="18"/>
  <c r="R141" i="18"/>
  <c r="P137" i="18"/>
  <c r="R232" i="18"/>
  <c r="R225" i="18"/>
  <c r="R224" i="18"/>
  <c r="R220" i="18"/>
  <c r="R216" i="18"/>
  <c r="R204" i="18"/>
  <c r="R189" i="18"/>
  <c r="R188" i="18"/>
  <c r="R132" i="18"/>
  <c r="R128" i="18"/>
  <c r="R124" i="18"/>
  <c r="R120" i="18"/>
  <c r="R116" i="18"/>
  <c r="R112" i="18"/>
  <c r="R108" i="18"/>
  <c r="R104" i="18"/>
  <c r="R100" i="18"/>
  <c r="R96" i="18"/>
  <c r="R199" i="18"/>
  <c r="R183" i="18"/>
  <c r="R159" i="18"/>
  <c r="R155" i="18"/>
  <c r="R92" i="18"/>
  <c r="R246" i="18"/>
  <c r="R226" i="18"/>
  <c r="R210" i="18"/>
  <c r="R191" i="18"/>
  <c r="R190" i="18"/>
  <c r="R175" i="18"/>
  <c r="R174" i="18"/>
  <c r="R167" i="18"/>
  <c r="R166" i="18"/>
  <c r="R151" i="18"/>
  <c r="R150" i="18"/>
  <c r="R146" i="18"/>
  <c r="R142" i="18"/>
  <c r="R234" i="18"/>
  <c r="R233" i="18"/>
  <c r="R221" i="18"/>
  <c r="R217" i="18"/>
  <c r="R205" i="18"/>
  <c r="R133" i="18"/>
  <c r="R129" i="18"/>
  <c r="R125" i="18"/>
  <c r="R121" i="18"/>
  <c r="R117" i="18"/>
  <c r="R113" i="18"/>
  <c r="R109" i="18"/>
  <c r="R105" i="18"/>
  <c r="R101" i="18"/>
  <c r="R97" i="18"/>
  <c r="R93" i="18"/>
  <c r="R200" i="18"/>
  <c r="R193" i="18"/>
  <c r="R192" i="18"/>
  <c r="R185" i="18"/>
  <c r="R184" i="18"/>
  <c r="R176" i="18"/>
  <c r="R169" i="18"/>
  <c r="R168" i="18"/>
  <c r="R160" i="18"/>
  <c r="R156" i="18"/>
  <c r="R152" i="18"/>
  <c r="X12" i="18"/>
  <c r="Z12" i="18" s="1"/>
  <c r="R235" i="18"/>
  <c r="R228" i="18"/>
  <c r="R227" i="18"/>
  <c r="R212" i="18"/>
  <c r="R211" i="18"/>
  <c r="R147" i="18"/>
  <c r="R143" i="18"/>
  <c r="R238" i="18"/>
  <c r="R237" i="18"/>
  <c r="R222" i="18"/>
  <c r="R218" i="18"/>
  <c r="R207" i="18"/>
  <c r="R206" i="18"/>
  <c r="R195" i="18"/>
  <c r="R194" i="18"/>
  <c r="R186" i="18"/>
  <c r="R170" i="18"/>
  <c r="R134" i="18"/>
  <c r="R130" i="18"/>
  <c r="R126" i="18"/>
  <c r="R122" i="18"/>
  <c r="R118" i="18"/>
  <c r="R114" i="18"/>
  <c r="R110" i="18"/>
  <c r="R106" i="18"/>
  <c r="R102" i="18"/>
  <c r="R98" i="18"/>
  <c r="R94" i="18"/>
  <c r="R241" i="18"/>
  <c r="R231" i="18"/>
  <c r="R223" i="18"/>
  <c r="R219" i="18"/>
  <c r="R203" i="18"/>
  <c r="R187" i="18"/>
  <c r="R180" i="18"/>
  <c r="R179" i="18"/>
  <c r="R172" i="18"/>
  <c r="R171" i="18"/>
  <c r="R164" i="18"/>
  <c r="R163" i="18"/>
  <c r="R140" i="18"/>
  <c r="R135" i="18"/>
  <c r="R131" i="18"/>
  <c r="R127" i="18"/>
  <c r="R123" i="18"/>
  <c r="R119" i="18"/>
  <c r="R115" i="18"/>
  <c r="R111" i="18"/>
  <c r="R107" i="18"/>
  <c r="R103" i="18"/>
  <c r="R99" i="18"/>
  <c r="R95" i="18"/>
  <c r="R230" i="18"/>
  <c r="R196" i="18"/>
  <c r="R157" i="18"/>
  <c r="R202" i="18"/>
  <c r="R178" i="18"/>
  <c r="R161" i="18"/>
  <c r="R240" i="18"/>
  <c r="R213" i="18"/>
  <c r="R197" i="18"/>
  <c r="R229" i="18"/>
  <c r="R208" i="18"/>
  <c r="R153" i="18"/>
  <c r="R144" i="18"/>
  <c r="R177" i="18"/>
  <c r="R148" i="18"/>
  <c r="R162" i="18"/>
  <c r="R239" i="18"/>
  <c r="R201" i="18"/>
  <c r="F204" i="15"/>
  <c r="F203" i="15"/>
  <c r="F188" i="15"/>
  <c r="F168" i="15"/>
  <c r="F167" i="15"/>
  <c r="F152" i="15"/>
  <c r="F144" i="15"/>
  <c r="F211" i="15"/>
  <c r="F213" i="15"/>
  <c r="F212" i="15"/>
  <c r="F205" i="15"/>
  <c r="F189" i="15"/>
  <c r="F217" i="15"/>
  <c r="F215" i="15"/>
  <c r="F186" i="15"/>
  <c r="F185" i="15"/>
  <c r="F174" i="15"/>
  <c r="F218" i="15"/>
  <c r="F219" i="15"/>
  <c r="F192" i="15"/>
  <c r="F145" i="15"/>
  <c r="F141" i="15"/>
  <c r="F127" i="15"/>
  <c r="F123" i="15"/>
  <c r="F119" i="15"/>
  <c r="F118" i="15"/>
  <c r="F165" i="15"/>
  <c r="F160" i="15"/>
  <c r="F155" i="15"/>
  <c r="F150" i="15"/>
  <c r="F146" i="15"/>
  <c r="F117" i="15"/>
  <c r="F110" i="15"/>
  <c r="F106" i="15"/>
  <c r="F102" i="15"/>
  <c r="F98" i="15"/>
  <c r="F94" i="15"/>
  <c r="F90" i="15"/>
  <c r="F86" i="15"/>
  <c r="F82" i="15"/>
  <c r="F223" i="15"/>
  <c r="F202" i="15"/>
  <c r="F184" i="15"/>
  <c r="F178" i="15"/>
  <c r="F169" i="15"/>
  <c r="F161" i="15"/>
  <c r="F137" i="15"/>
  <c r="F133" i="15"/>
  <c r="D115" i="15"/>
  <c r="F208" i="15"/>
  <c r="F200" i="15"/>
  <c r="F193" i="15"/>
  <c r="F187" i="15"/>
  <c r="F182" i="15"/>
  <c r="F170" i="15"/>
  <c r="F151" i="15"/>
  <c r="F147" i="15"/>
  <c r="F128" i="15"/>
  <c r="F124" i="15"/>
  <c r="F120" i="15"/>
  <c r="L12" i="15"/>
  <c r="N12" i="15" s="1"/>
  <c r="F216" i="15"/>
  <c r="F198" i="15"/>
  <c r="F175" i="15"/>
  <c r="F156" i="15"/>
  <c r="F148" i="15"/>
  <c r="F142" i="15"/>
  <c r="F111" i="15"/>
  <c r="F107" i="15"/>
  <c r="F103" i="15"/>
  <c r="F99" i="15"/>
  <c r="F95" i="15"/>
  <c r="F91" i="15"/>
  <c r="F87" i="15"/>
  <c r="F83" i="15"/>
  <c r="F79" i="15"/>
  <c r="F78" i="15"/>
  <c r="F209" i="15"/>
  <c r="F196" i="15"/>
  <c r="F190" i="15"/>
  <c r="F179" i="15"/>
  <c r="F171" i="15"/>
  <c r="F162" i="15"/>
  <c r="F157" i="15"/>
  <c r="F138" i="15"/>
  <c r="F134" i="15"/>
  <c r="F130" i="15"/>
  <c r="F129" i="15"/>
  <c r="F194" i="15"/>
  <c r="F176" i="15"/>
  <c r="F172" i="15"/>
  <c r="F166" i="15"/>
  <c r="F143" i="15"/>
  <c r="F125" i="15"/>
  <c r="F121" i="15"/>
  <c r="F191" i="15"/>
  <c r="F163" i="15"/>
  <c r="F112" i="15"/>
  <c r="F108" i="15"/>
  <c r="F104" i="15"/>
  <c r="F100" i="15"/>
  <c r="F96" i="15"/>
  <c r="F92" i="15"/>
  <c r="F88" i="15"/>
  <c r="F84" i="15"/>
  <c r="F80" i="15"/>
  <c r="F206" i="15"/>
  <c r="F201" i="15"/>
  <c r="F183" i="15"/>
  <c r="F180" i="15"/>
  <c r="F164" i="15"/>
  <c r="F139" i="15"/>
  <c r="F135" i="15"/>
  <c r="F131" i="15"/>
  <c r="F207" i="15"/>
  <c r="F195" i="15"/>
  <c r="F159" i="15"/>
  <c r="F140" i="15"/>
  <c r="F136" i="15"/>
  <c r="F132" i="15"/>
  <c r="F81" i="15"/>
  <c r="F101" i="15"/>
  <c r="F149" i="15"/>
  <c r="F97" i="15"/>
  <c r="F153" i="15"/>
  <c r="F210" i="15"/>
  <c r="F93" i="15"/>
  <c r="F154" i="15"/>
  <c r="F197" i="15"/>
  <c r="F173" i="15"/>
  <c r="F181" i="15"/>
  <c r="F177" i="15"/>
  <c r="F85" i="15"/>
  <c r="F113" i="15"/>
  <c r="F158" i="15"/>
  <c r="F89" i="15"/>
  <c r="F109" i="15"/>
  <c r="F122" i="15"/>
  <c r="F199" i="15"/>
  <c r="F105" i="15"/>
  <c r="F126" i="15"/>
  <c r="V119" i="12"/>
  <c r="H27" i="47"/>
  <c r="N18" i="47"/>
  <c r="H27" i="50"/>
  <c r="N18" i="50"/>
  <c r="H27" i="41"/>
  <c r="N18" i="41"/>
  <c r="H27" i="44"/>
  <c r="N18" i="44"/>
  <c r="T27" i="35"/>
  <c r="Z18" i="35"/>
  <c r="T27" i="34"/>
  <c r="Z18" i="34"/>
  <c r="X18" i="31"/>
  <c r="P27" i="31"/>
  <c r="D27" i="34"/>
  <c r="L18" i="34"/>
  <c r="T27" i="23"/>
  <c r="Z18" i="23"/>
  <c r="T27" i="4"/>
  <c r="Z18" i="4"/>
  <c r="T95" i="103"/>
  <c r="H83" i="79"/>
  <c r="H105" i="76"/>
  <c r="P24" i="104"/>
  <c r="X16" i="104"/>
  <c r="Z16" i="106"/>
  <c r="T22" i="106"/>
  <c r="H24" i="104"/>
  <c r="N16" i="104"/>
  <c r="D91" i="103"/>
  <c r="L23" i="103"/>
  <c r="L16" i="104"/>
  <c r="D24" i="104"/>
  <c r="J23" i="105"/>
  <c r="D58" i="102"/>
  <c r="L16" i="102"/>
  <c r="H92" i="97"/>
  <c r="D85" i="97"/>
  <c r="N20" i="87"/>
  <c r="H91" i="87"/>
  <c r="P91" i="87"/>
  <c r="X20" i="87"/>
  <c r="H117" i="70"/>
  <c r="P60" i="61"/>
  <c r="X16" i="61"/>
  <c r="L16" i="61"/>
  <c r="H71" i="59"/>
  <c r="N16" i="59"/>
  <c r="D75" i="59"/>
  <c r="H78" i="48"/>
  <c r="H174" i="30"/>
  <c r="R24" i="21"/>
  <c r="F164" i="30"/>
  <c r="F162" i="30"/>
  <c r="F169" i="30"/>
  <c r="F140" i="30"/>
  <c r="F139" i="30"/>
  <c r="F128" i="30"/>
  <c r="F127" i="30"/>
  <c r="F108" i="30"/>
  <c r="F107" i="30"/>
  <c r="F79" i="30"/>
  <c r="F77" i="30"/>
  <c r="F72" i="30"/>
  <c r="F68" i="30"/>
  <c r="F64" i="30"/>
  <c r="F60" i="30"/>
  <c r="F56" i="30"/>
  <c r="L12" i="30"/>
  <c r="N12" i="30" s="1"/>
  <c r="F99" i="30"/>
  <c r="F95" i="30"/>
  <c r="F91" i="30"/>
  <c r="F90" i="30"/>
  <c r="D77" i="30"/>
  <c r="F150" i="30"/>
  <c r="F146" i="30"/>
  <c r="F134" i="30"/>
  <c r="F118" i="30"/>
  <c r="F110" i="30"/>
  <c r="F109" i="30"/>
  <c r="F86" i="30"/>
  <c r="F82" i="30"/>
  <c r="F158" i="30"/>
  <c r="F141" i="30"/>
  <c r="F129" i="30"/>
  <c r="F73" i="30"/>
  <c r="F69" i="30"/>
  <c r="F65" i="30"/>
  <c r="F61" i="30"/>
  <c r="F57" i="30"/>
  <c r="F53" i="30"/>
  <c r="F52" i="30"/>
  <c r="F163" i="30"/>
  <c r="F152" i="30"/>
  <c r="F151" i="30"/>
  <c r="F136" i="30"/>
  <c r="F135" i="30"/>
  <c r="F120" i="30"/>
  <c r="F119" i="30"/>
  <c r="F112" i="30"/>
  <c r="F111" i="30"/>
  <c r="F100" i="30"/>
  <c r="F96" i="30"/>
  <c r="F92" i="30"/>
  <c r="F147" i="30"/>
  <c r="F143" i="30"/>
  <c r="F142" i="30"/>
  <c r="F87" i="30"/>
  <c r="F83" i="30"/>
  <c r="F130" i="30"/>
  <c r="F122" i="30"/>
  <c r="F121" i="30"/>
  <c r="F114" i="30"/>
  <c r="F113" i="30"/>
  <c r="F102" i="30"/>
  <c r="F101" i="30"/>
  <c r="F74" i="30"/>
  <c r="F70" i="30"/>
  <c r="F66" i="30"/>
  <c r="F62" i="30"/>
  <c r="F58" i="30"/>
  <c r="F54" i="30"/>
  <c r="F159" i="30"/>
  <c r="F153" i="30"/>
  <c r="F137" i="30"/>
  <c r="F97" i="30"/>
  <c r="F93" i="30"/>
  <c r="F148" i="30"/>
  <c r="F144" i="30"/>
  <c r="F132" i="30"/>
  <c r="F131" i="30"/>
  <c r="F124" i="30"/>
  <c r="F123" i="30"/>
  <c r="F104" i="30"/>
  <c r="F103" i="30"/>
  <c r="F88" i="30"/>
  <c r="F84" i="30"/>
  <c r="F157" i="30"/>
  <c r="F156" i="30"/>
  <c r="F149" i="30"/>
  <c r="F145" i="30"/>
  <c r="F133" i="30"/>
  <c r="F117" i="30"/>
  <c r="F116" i="30"/>
  <c r="F89" i="30"/>
  <c r="F85" i="30"/>
  <c r="F81" i="30"/>
  <c r="F80" i="30"/>
  <c r="F126" i="30"/>
  <c r="F160" i="30"/>
  <c r="F115" i="30"/>
  <c r="F105" i="30"/>
  <c r="F94" i="30"/>
  <c r="F155" i="30"/>
  <c r="F125" i="30"/>
  <c r="F165" i="30"/>
  <c r="F98" i="30"/>
  <c r="F75" i="30"/>
  <c r="F71" i="30"/>
  <c r="F67" i="30"/>
  <c r="F63" i="30"/>
  <c r="F59" i="30"/>
  <c r="F55" i="30"/>
  <c r="F106" i="30"/>
  <c r="F154" i="30"/>
  <c r="F138" i="30"/>
  <c r="Z22" i="6"/>
  <c r="T26" i="6"/>
  <c r="T27" i="43"/>
  <c r="Z18" i="43"/>
  <c r="L18" i="49"/>
  <c r="D27" i="49"/>
  <c r="D27" i="38"/>
  <c r="L18" i="38"/>
  <c r="L18" i="23"/>
  <c r="D27" i="23"/>
  <c r="X18" i="13"/>
  <c r="P27" i="13"/>
  <c r="T27" i="11"/>
  <c r="Z18" i="11"/>
  <c r="H22" i="106"/>
  <c r="N16" i="106"/>
  <c r="X16" i="55"/>
  <c r="P22" i="6"/>
  <c r="X16" i="6"/>
  <c r="T27" i="110"/>
  <c r="Z18" i="110"/>
  <c r="T27" i="14"/>
  <c r="Z18" i="14"/>
  <c r="H27" i="8"/>
  <c r="N18" i="8"/>
  <c r="H78" i="109"/>
  <c r="L16" i="100"/>
  <c r="D30" i="100"/>
  <c r="H53" i="82"/>
  <c r="R68" i="103"/>
  <c r="R84" i="103"/>
  <c r="R83" i="103"/>
  <c r="R79" i="103"/>
  <c r="R60" i="103"/>
  <c r="R59" i="103"/>
  <c r="R48" i="103"/>
  <c r="R47" i="103"/>
  <c r="R86" i="103"/>
  <c r="R85" i="103"/>
  <c r="R70" i="103"/>
  <c r="R69" i="103"/>
  <c r="R62" i="103"/>
  <c r="R61" i="103"/>
  <c r="R50" i="103"/>
  <c r="R49" i="103"/>
  <c r="R80" i="103"/>
  <c r="R76" i="103"/>
  <c r="R87" i="103"/>
  <c r="R81" i="103"/>
  <c r="R77" i="103"/>
  <c r="R65" i="103"/>
  <c r="R57" i="103"/>
  <c r="R53" i="103"/>
  <c r="R35" i="103"/>
  <c r="R31" i="103"/>
  <c r="R27" i="103"/>
  <c r="P23" i="103"/>
  <c r="R89" i="103"/>
  <c r="R74" i="103"/>
  <c r="R71" i="103"/>
  <c r="R66" i="103"/>
  <c r="R58" i="103"/>
  <c r="R54" i="103"/>
  <c r="R45" i="103"/>
  <c r="R41" i="103"/>
  <c r="R18" i="103"/>
  <c r="R75" i="103"/>
  <c r="R37" i="103"/>
  <c r="R36" i="103"/>
  <c r="R32" i="103"/>
  <c r="R28" i="103"/>
  <c r="X12" i="103"/>
  <c r="Z12" i="103" s="1"/>
  <c r="R93" i="103"/>
  <c r="R19" i="103"/>
  <c r="R42" i="103"/>
  <c r="R38" i="103"/>
  <c r="R72" i="103"/>
  <c r="R46" i="103"/>
  <c r="R33" i="103"/>
  <c r="R29" i="103"/>
  <c r="R63" i="103"/>
  <c r="R55" i="103"/>
  <c r="R51" i="103"/>
  <c r="R20" i="103"/>
  <c r="R82" i="103"/>
  <c r="R78" i="103"/>
  <c r="R67" i="103"/>
  <c r="R64" i="103"/>
  <c r="R52" i="103"/>
  <c r="R43" i="103"/>
  <c r="R39" i="103"/>
  <c r="R44" i="103"/>
  <c r="R40" i="103"/>
  <c r="R25" i="103"/>
  <c r="R23" i="103"/>
  <c r="R26" i="103"/>
  <c r="R73" i="103"/>
  <c r="R21" i="103"/>
  <c r="R56" i="103"/>
  <c r="R30" i="103"/>
  <c r="R34" i="103"/>
  <c r="H24" i="108"/>
  <c r="N16" i="108"/>
  <c r="V86" i="107"/>
  <c r="L16" i="108"/>
  <c r="H58" i="102"/>
  <c r="N16" i="102"/>
  <c r="X17" i="98"/>
  <c r="P25" i="98"/>
  <c r="T22" i="89"/>
  <c r="Z16" i="89"/>
  <c r="P36" i="88"/>
  <c r="X32" i="88"/>
  <c r="P90" i="83"/>
  <c r="X21" i="83"/>
  <c r="Z21" i="83" s="1"/>
  <c r="D70" i="80"/>
  <c r="L19" i="80"/>
  <c r="V52" i="70"/>
  <c r="L19" i="72"/>
  <c r="N19" i="72" s="1"/>
  <c r="D70" i="72"/>
  <c r="T75" i="59"/>
  <c r="R79" i="68"/>
  <c r="R78" i="68"/>
  <c r="R71" i="68"/>
  <c r="R70" i="68"/>
  <c r="R54" i="68"/>
  <c r="R50" i="68"/>
  <c r="R85" i="68"/>
  <c r="R62" i="68"/>
  <c r="R61" i="68"/>
  <c r="R45" i="68"/>
  <c r="R41" i="68"/>
  <c r="R64" i="68"/>
  <c r="R63" i="68"/>
  <c r="R55" i="68"/>
  <c r="R51" i="68"/>
  <c r="R87" i="68"/>
  <c r="R86" i="68"/>
  <c r="R74" i="68"/>
  <c r="R47" i="68"/>
  <c r="R46" i="68"/>
  <c r="R42" i="68"/>
  <c r="R81" i="68"/>
  <c r="R65" i="68"/>
  <c r="R38" i="68"/>
  <c r="R33" i="68"/>
  <c r="R29" i="68"/>
  <c r="R88" i="68"/>
  <c r="R56" i="68"/>
  <c r="R52" i="68"/>
  <c r="R48" i="68"/>
  <c r="R37" i="68"/>
  <c r="R35" i="68"/>
  <c r="R25" i="68"/>
  <c r="R90" i="68"/>
  <c r="R76" i="68"/>
  <c r="R75" i="68"/>
  <c r="R43" i="68"/>
  <c r="R39" i="68"/>
  <c r="P35" i="68"/>
  <c r="R82" i="68"/>
  <c r="R67" i="68"/>
  <c r="R66" i="68"/>
  <c r="R30" i="68"/>
  <c r="R26" i="68"/>
  <c r="X12" i="68"/>
  <c r="Z12" i="68" s="1"/>
  <c r="R84" i="68"/>
  <c r="R83" i="68"/>
  <c r="R60" i="68"/>
  <c r="R59" i="68"/>
  <c r="R31" i="68"/>
  <c r="R27" i="68"/>
  <c r="R80" i="68"/>
  <c r="R72" i="68"/>
  <c r="R68" i="68"/>
  <c r="R58" i="68"/>
  <c r="R77" i="68"/>
  <c r="R73" i="68"/>
  <c r="R49" i="68"/>
  <c r="R32" i="68"/>
  <c r="R69" i="68"/>
  <c r="R40" i="68"/>
  <c r="R94" i="68"/>
  <c r="R28" i="68"/>
  <c r="R44" i="68"/>
  <c r="R53" i="68"/>
  <c r="R57" i="68"/>
  <c r="L16" i="59"/>
  <c r="P78" i="57"/>
  <c r="X74" i="57"/>
  <c r="R23" i="45"/>
  <c r="H82" i="33"/>
  <c r="R25" i="42"/>
  <c r="H92" i="24"/>
  <c r="R53" i="27"/>
  <c r="T167" i="30"/>
  <c r="Z77" i="30"/>
  <c r="D113" i="21"/>
  <c r="D22" i="6"/>
  <c r="L16" i="6"/>
  <c r="T27" i="111"/>
  <c r="Z18" i="111"/>
  <c r="X18" i="50"/>
  <c r="P27" i="50"/>
  <c r="L18" i="46"/>
  <c r="D27" i="46"/>
  <c r="L18" i="40"/>
  <c r="D27" i="40"/>
  <c r="P27" i="41"/>
  <c r="X18" i="41"/>
  <c r="T27" i="31"/>
  <c r="Z18" i="31"/>
  <c r="L18" i="31"/>
  <c r="D27" i="31"/>
  <c r="T27" i="37"/>
  <c r="Z18" i="37"/>
  <c r="L18" i="35"/>
  <c r="D27" i="35"/>
  <c r="L18" i="16"/>
  <c r="D27" i="16"/>
  <c r="X18" i="20"/>
  <c r="P27" i="20"/>
  <c r="H27" i="17"/>
  <c r="N18" i="17"/>
  <c r="T27" i="13"/>
  <c r="Z18" i="13"/>
  <c r="H27" i="19"/>
  <c r="N18" i="19"/>
  <c r="T27" i="5"/>
  <c r="Z18" i="5"/>
  <c r="N27" i="31" l="1"/>
  <c r="H31" i="31"/>
  <c r="P80" i="58"/>
  <c r="X76" i="58"/>
  <c r="Z76" i="58" s="1"/>
  <c r="T43" i="101"/>
  <c r="T128" i="84"/>
  <c r="V125" i="84"/>
  <c r="T171" i="30"/>
  <c r="V167" i="30"/>
  <c r="N27" i="19"/>
  <c r="H31" i="19"/>
  <c r="X35" i="68"/>
  <c r="Z35" i="68" s="1"/>
  <c r="P92" i="68"/>
  <c r="P91" i="103"/>
  <c r="X23" i="103"/>
  <c r="Z23" i="103" s="1"/>
  <c r="H121" i="70"/>
  <c r="J117" i="70"/>
  <c r="N70" i="69"/>
  <c r="H73" i="69"/>
  <c r="N73" i="69" s="1"/>
  <c r="D31" i="54"/>
  <c r="Z74" i="57"/>
  <c r="T78" i="57"/>
  <c r="L27" i="20"/>
  <c r="D31" i="20"/>
  <c r="P31" i="47"/>
  <c r="X27" i="47"/>
  <c r="H65" i="60"/>
  <c r="H26" i="89"/>
  <c r="N22" i="89"/>
  <c r="H100" i="105"/>
  <c r="J96" i="105"/>
  <c r="H31" i="10"/>
  <c r="N27" i="10"/>
  <c r="H31" i="16"/>
  <c r="N27" i="16"/>
  <c r="T34" i="100"/>
  <c r="Z30" i="100"/>
  <c r="X27" i="22"/>
  <c r="P31" i="22"/>
  <c r="H225" i="15"/>
  <c r="J221" i="15"/>
  <c r="T108" i="51"/>
  <c r="V105" i="51"/>
  <c r="D84" i="93"/>
  <c r="L80" i="93"/>
  <c r="X27" i="35"/>
  <c r="P31" i="35"/>
  <c r="Z27" i="29"/>
  <c r="T31" i="29"/>
  <c r="T31" i="38"/>
  <c r="Z27" i="38"/>
  <c r="Z24" i="108"/>
  <c r="T28" i="108"/>
  <c r="H108" i="76"/>
  <c r="J105" i="76"/>
  <c r="X27" i="37"/>
  <c r="P31" i="37"/>
  <c r="X119" i="12"/>
  <c r="Z119" i="12" s="1"/>
  <c r="P228" i="12"/>
  <c r="X27" i="19"/>
  <c r="P31" i="19"/>
  <c r="P124" i="39"/>
  <c r="X28" i="39"/>
  <c r="Z28" i="39" s="1"/>
  <c r="P110" i="21"/>
  <c r="X106" i="21"/>
  <c r="R106" i="21"/>
  <c r="X27" i="20"/>
  <c r="P31" i="20"/>
  <c r="P81" i="57"/>
  <c r="X78" i="57"/>
  <c r="T78" i="59"/>
  <c r="D31" i="49"/>
  <c r="L27" i="49"/>
  <c r="X91" i="87"/>
  <c r="Z91" i="87" s="1"/>
  <c r="P95" i="87"/>
  <c r="P31" i="31"/>
  <c r="X27" i="31"/>
  <c r="D221" i="15"/>
  <c r="L115" i="15"/>
  <c r="N115" i="15" s="1"/>
  <c r="T122" i="27"/>
  <c r="V118" i="27"/>
  <c r="N70" i="72"/>
  <c r="H74" i="72"/>
  <c r="J70" i="72"/>
  <c r="P31" i="52"/>
  <c r="X27" i="52"/>
  <c r="H97" i="83"/>
  <c r="J94" i="83"/>
  <c r="L27" i="26"/>
  <c r="D31" i="26"/>
  <c r="H31" i="38"/>
  <c r="N27" i="38"/>
  <c r="X28" i="75"/>
  <c r="Z28" i="75" s="1"/>
  <c r="P82" i="75"/>
  <c r="D31" i="5"/>
  <c r="L27" i="5"/>
  <c r="N27" i="52"/>
  <c r="H31" i="52"/>
  <c r="T93" i="107"/>
  <c r="V90" i="107"/>
  <c r="Z27" i="112"/>
  <c r="T31" i="112"/>
  <c r="N27" i="40"/>
  <c r="H31" i="40"/>
  <c r="H104" i="63"/>
  <c r="P74" i="80"/>
  <c r="X70" i="80"/>
  <c r="X27" i="49"/>
  <c r="P31" i="49"/>
  <c r="D40" i="55"/>
  <c r="H153" i="74"/>
  <c r="J149" i="74"/>
  <c r="T103" i="95"/>
  <c r="V99" i="95"/>
  <c r="X27" i="40"/>
  <c r="P31" i="40"/>
  <c r="X85" i="97"/>
  <c r="Z85" i="97" s="1"/>
  <c r="P89" i="97"/>
  <c r="H78" i="57"/>
  <c r="P84" i="93"/>
  <c r="X80" i="93"/>
  <c r="L27" i="52"/>
  <c r="D31" i="52"/>
  <c r="T37" i="55"/>
  <c r="P221" i="15"/>
  <c r="X115" i="15"/>
  <c r="Z115" i="15" s="1"/>
  <c r="P105" i="45"/>
  <c r="X101" i="45"/>
  <c r="Z101" i="45" s="1"/>
  <c r="R101" i="45"/>
  <c r="H86" i="75"/>
  <c r="J82" i="75"/>
  <c r="H125" i="84"/>
  <c r="J121" i="84"/>
  <c r="H95" i="103"/>
  <c r="J91" i="103"/>
  <c r="P101" i="76"/>
  <c r="X46" i="76"/>
  <c r="Z46" i="76" s="1"/>
  <c r="L22" i="6"/>
  <c r="D26" i="6"/>
  <c r="P37" i="100"/>
  <c r="T267" i="3"/>
  <c r="V263" i="3"/>
  <c r="T78" i="48"/>
  <c r="V75" i="48"/>
  <c r="H74" i="80"/>
  <c r="N27" i="47"/>
  <c r="H31" i="47"/>
  <c r="P31" i="28"/>
  <c r="X27" i="28"/>
  <c r="H64" i="61"/>
  <c r="N27" i="112"/>
  <c r="H31" i="112"/>
  <c r="D31" i="112"/>
  <c r="L27" i="112"/>
  <c r="H34" i="100"/>
  <c r="T232" i="12"/>
  <c r="V228" i="12"/>
  <c r="D31" i="10"/>
  <c r="L27" i="10"/>
  <c r="D31" i="50"/>
  <c r="L27" i="50"/>
  <c r="T31" i="26"/>
  <c r="Z27" i="26"/>
  <c r="L27" i="37"/>
  <c r="D31" i="37"/>
  <c r="X22" i="89"/>
  <c r="P26" i="89"/>
  <c r="P31" i="7"/>
  <c r="X27" i="7"/>
  <c r="H37" i="55"/>
  <c r="L37" i="55" s="1"/>
  <c r="N33" i="55"/>
  <c r="P82" i="92"/>
  <c r="X78" i="92"/>
  <c r="Z78" i="92" s="1"/>
  <c r="X71" i="109"/>
  <c r="P75" i="109"/>
  <c r="R71" i="109"/>
  <c r="J78" i="109"/>
  <c r="T62" i="60"/>
  <c r="X58" i="60"/>
  <c r="Z58" i="60" s="1"/>
  <c r="D82" i="33"/>
  <c r="L28" i="33"/>
  <c r="N28" i="33" s="1"/>
  <c r="H31" i="43"/>
  <c r="N27" i="43"/>
  <c r="X27" i="41"/>
  <c r="P31" i="41"/>
  <c r="J83" i="79"/>
  <c r="H86" i="79"/>
  <c r="H86" i="56"/>
  <c r="L27" i="16"/>
  <c r="D31" i="16"/>
  <c r="L27" i="40"/>
  <c r="D31" i="40"/>
  <c r="N27" i="8"/>
  <c r="H31" i="8"/>
  <c r="D95" i="103"/>
  <c r="L91" i="103"/>
  <c r="N91" i="103" s="1"/>
  <c r="X76" i="74"/>
  <c r="Z76" i="74" s="1"/>
  <c r="P149" i="74"/>
  <c r="P104" i="63"/>
  <c r="X100" i="63"/>
  <c r="X27" i="26"/>
  <c r="P31" i="26"/>
  <c r="H131" i="39"/>
  <c r="J128" i="39"/>
  <c r="L28" i="75"/>
  <c r="N28" i="75" s="1"/>
  <c r="D82" i="75"/>
  <c r="D31" i="111"/>
  <c r="L27" i="111"/>
  <c r="T248" i="18"/>
  <c r="V244" i="18"/>
  <c r="P75" i="48"/>
  <c r="X71" i="48"/>
  <c r="Z71" i="48" s="1"/>
  <c r="R71" i="48"/>
  <c r="P73" i="69"/>
  <c r="T84" i="93"/>
  <c r="Z80" i="93"/>
  <c r="Z32" i="88"/>
  <c r="T36" i="88"/>
  <c r="X36" i="88" s="1"/>
  <c r="D29" i="98"/>
  <c r="L25" i="98"/>
  <c r="F25" i="98"/>
  <c r="D31" i="7"/>
  <c r="L27" i="7"/>
  <c r="H31" i="20"/>
  <c r="N27" i="20"/>
  <c r="H134" i="36"/>
  <c r="J131" i="36"/>
  <c r="P82" i="33"/>
  <c r="X28" i="33"/>
  <c r="Z28" i="33" s="1"/>
  <c r="T153" i="74"/>
  <c r="V149" i="74"/>
  <c r="D31" i="4"/>
  <c r="L27" i="4"/>
  <c r="P31" i="53"/>
  <c r="X27" i="53"/>
  <c r="D83" i="79"/>
  <c r="L79" i="79"/>
  <c r="N79" i="79" s="1"/>
  <c r="P100" i="105"/>
  <c r="X96" i="105"/>
  <c r="R96" i="105"/>
  <c r="Z27" i="19"/>
  <c r="T31" i="19"/>
  <c r="P31" i="108"/>
  <c r="H124" i="42"/>
  <c r="J120" i="42"/>
  <c r="H105" i="51"/>
  <c r="J101" i="51"/>
  <c r="X27" i="110"/>
  <c r="P31" i="110"/>
  <c r="H31" i="26"/>
  <c r="N27" i="26"/>
  <c r="H31" i="37"/>
  <c r="N27" i="37"/>
  <c r="T104" i="63"/>
  <c r="Z100" i="63"/>
  <c r="D78" i="92"/>
  <c r="L18" i="92"/>
  <c r="R46" i="76"/>
  <c r="T31" i="31"/>
  <c r="Z27" i="31"/>
  <c r="D31" i="38"/>
  <c r="L27" i="38"/>
  <c r="N27" i="50"/>
  <c r="H31" i="50"/>
  <c r="X27" i="16"/>
  <c r="P31" i="16"/>
  <c r="T134" i="36"/>
  <c r="V131" i="36"/>
  <c r="P124" i="42"/>
  <c r="X120" i="42"/>
  <c r="R120" i="42"/>
  <c r="P39" i="88"/>
  <c r="Z27" i="34"/>
  <c r="T31" i="34"/>
  <c r="L35" i="24"/>
  <c r="N35" i="24" s="1"/>
  <c r="D92" i="24"/>
  <c r="L26" i="89"/>
  <c r="D29" i="89"/>
  <c r="P26" i="106"/>
  <c r="X22" i="106"/>
  <c r="D86" i="107"/>
  <c r="L19" i="107"/>
  <c r="N19" i="107" s="1"/>
  <c r="T105" i="76"/>
  <c r="V101" i="76"/>
  <c r="T31" i="52"/>
  <c r="Z27" i="52"/>
  <c r="T131" i="39"/>
  <c r="V128" i="39"/>
  <c r="H31" i="22"/>
  <c r="N27" i="22"/>
  <c r="N27" i="34"/>
  <c r="H31" i="34"/>
  <c r="L27" i="8"/>
  <c r="D31" i="8"/>
  <c r="L27" i="110"/>
  <c r="D31" i="110"/>
  <c r="P75" i="59"/>
  <c r="X71" i="59"/>
  <c r="Z71" i="59" s="1"/>
  <c r="J106" i="95"/>
  <c r="T31" i="20"/>
  <c r="Z27" i="20"/>
  <c r="R119" i="12"/>
  <c r="N27" i="32"/>
  <c r="H31" i="32"/>
  <c r="F28" i="33"/>
  <c r="N22" i="54"/>
  <c r="H26" i="54"/>
  <c r="L26" i="54" s="1"/>
  <c r="T63" i="99"/>
  <c r="P31" i="23"/>
  <c r="X27" i="23"/>
  <c r="T26" i="54"/>
  <c r="Z22" i="54"/>
  <c r="T31" i="16"/>
  <c r="Z27" i="16"/>
  <c r="L27" i="28"/>
  <c r="D31" i="28"/>
  <c r="H105" i="45"/>
  <c r="J101" i="45"/>
  <c r="D32" i="85"/>
  <c r="L28" i="85"/>
  <c r="N28" i="85" s="1"/>
  <c r="F28" i="85"/>
  <c r="D28" i="104"/>
  <c r="L24" i="104"/>
  <c r="X27" i="36"/>
  <c r="Z27" i="36" s="1"/>
  <c r="P127" i="36"/>
  <c r="X27" i="112"/>
  <c r="P31" i="112"/>
  <c r="F113" i="21"/>
  <c r="N22" i="106"/>
  <c r="H26" i="106"/>
  <c r="L27" i="46"/>
  <c r="D31" i="46"/>
  <c r="X25" i="98"/>
  <c r="P29" i="98"/>
  <c r="R25" i="98"/>
  <c r="H56" i="82"/>
  <c r="J53" i="82"/>
  <c r="Z26" i="6"/>
  <c r="T31" i="6"/>
  <c r="J174" i="30"/>
  <c r="N24" i="104"/>
  <c r="H28" i="104"/>
  <c r="T98" i="103"/>
  <c r="V95" i="103"/>
  <c r="D101" i="76"/>
  <c r="L46" i="76"/>
  <c r="N46" i="76" s="1"/>
  <c r="X27" i="25"/>
  <c r="P31" i="25"/>
  <c r="H267" i="3"/>
  <c r="J263" i="3"/>
  <c r="D105" i="45"/>
  <c r="L101" i="45"/>
  <c r="N101" i="45" s="1"/>
  <c r="F101" i="45"/>
  <c r="P83" i="94"/>
  <c r="X79" i="94"/>
  <c r="R79" i="94"/>
  <c r="T96" i="68"/>
  <c r="V92" i="68"/>
  <c r="N27" i="35"/>
  <c r="H31" i="35"/>
  <c r="D104" i="63"/>
  <c r="L100" i="63"/>
  <c r="N100" i="63" s="1"/>
  <c r="L62" i="60"/>
  <c r="N62" i="60" s="1"/>
  <c r="D65" i="60"/>
  <c r="L65" i="60" s="1"/>
  <c r="L263" i="3"/>
  <c r="N263" i="3" s="1"/>
  <c r="D267" i="3"/>
  <c r="F263" i="3"/>
  <c r="D31" i="44"/>
  <c r="L27" i="44"/>
  <c r="D78" i="57"/>
  <c r="L74" i="57"/>
  <c r="N74" i="57" s="1"/>
  <c r="P49" i="82"/>
  <c r="X23" i="82"/>
  <c r="Z23" i="82" s="1"/>
  <c r="T31" i="32"/>
  <c r="Z27" i="32"/>
  <c r="Z27" i="8"/>
  <c r="T31" i="8"/>
  <c r="N27" i="11"/>
  <c r="H31" i="11"/>
  <c r="L85" i="91"/>
  <c r="N85" i="91" s="1"/>
  <c r="D89" i="91"/>
  <c r="X22" i="54"/>
  <c r="N27" i="23"/>
  <c r="H31" i="23"/>
  <c r="N27" i="46"/>
  <c r="H31" i="46"/>
  <c r="D26" i="106"/>
  <c r="L22" i="106"/>
  <c r="H31" i="17"/>
  <c r="N27" i="17"/>
  <c r="H28" i="108"/>
  <c r="N24" i="108"/>
  <c r="N71" i="59"/>
  <c r="H75" i="59"/>
  <c r="D118" i="27"/>
  <c r="L53" i="27"/>
  <c r="N53" i="27" s="1"/>
  <c r="L27" i="25"/>
  <c r="D31" i="25"/>
  <c r="L27" i="35"/>
  <c r="D31" i="35"/>
  <c r="T31" i="14"/>
  <c r="Z27" i="14"/>
  <c r="Z27" i="5"/>
  <c r="T31" i="5"/>
  <c r="H96" i="24"/>
  <c r="J92" i="24"/>
  <c r="D74" i="72"/>
  <c r="L70" i="72"/>
  <c r="Z27" i="11"/>
  <c r="T31" i="11"/>
  <c r="D167" i="30"/>
  <c r="L77" i="30"/>
  <c r="N77" i="30" s="1"/>
  <c r="L85" i="97"/>
  <c r="N85" i="97" s="1"/>
  <c r="D89" i="97"/>
  <c r="Z22" i="106"/>
  <c r="T26" i="106"/>
  <c r="Z27" i="35"/>
  <c r="T31" i="35"/>
  <c r="F115" i="15"/>
  <c r="P43" i="101"/>
  <c r="X39" i="101"/>
  <c r="Z39" i="101" s="1"/>
  <c r="N27" i="5"/>
  <c r="H31" i="5"/>
  <c r="T31" i="22"/>
  <c r="Z27" i="22"/>
  <c r="H31" i="111"/>
  <c r="N27" i="111"/>
  <c r="H36" i="88"/>
  <c r="Z27" i="53"/>
  <c r="T31" i="53"/>
  <c r="Z66" i="69"/>
  <c r="T70" i="69"/>
  <c r="X70" i="69" s="1"/>
  <c r="V66" i="69"/>
  <c r="P32" i="85"/>
  <c r="X28" i="85"/>
  <c r="Z28" i="85" s="1"/>
  <c r="R28" i="85"/>
  <c r="X27" i="10"/>
  <c r="P31" i="10"/>
  <c r="T31" i="40"/>
  <c r="Z27" i="40"/>
  <c r="D94" i="83"/>
  <c r="L90" i="83"/>
  <c r="N90" i="83" s="1"/>
  <c r="D96" i="68"/>
  <c r="L92" i="68"/>
  <c r="L23" i="82"/>
  <c r="N23" i="82" s="1"/>
  <c r="D49" i="82"/>
  <c r="P121" i="84"/>
  <c r="X43" i="84"/>
  <c r="Z43" i="84" s="1"/>
  <c r="P31" i="5"/>
  <c r="X27" i="5"/>
  <c r="L27" i="41"/>
  <c r="D31" i="41"/>
  <c r="L228" i="12"/>
  <c r="N228" i="12" s="1"/>
  <c r="D232" i="12"/>
  <c r="F228" i="12"/>
  <c r="D127" i="36"/>
  <c r="L27" i="36"/>
  <c r="N27" i="36" s="1"/>
  <c r="F27" i="36"/>
  <c r="H29" i="98"/>
  <c r="N25" i="98"/>
  <c r="X27" i="29"/>
  <c r="P31" i="29"/>
  <c r="P31" i="54"/>
  <c r="X26" i="54"/>
  <c r="X27" i="8"/>
  <c r="P31" i="8"/>
  <c r="L27" i="29"/>
  <c r="D31" i="29"/>
  <c r="P86" i="56"/>
  <c r="D95" i="87"/>
  <c r="L91" i="87"/>
  <c r="D60" i="99"/>
  <c r="L56" i="99"/>
  <c r="N56" i="99" s="1"/>
  <c r="P94" i="83"/>
  <c r="X90" i="83"/>
  <c r="Z90" i="83" s="1"/>
  <c r="J78" i="48"/>
  <c r="H80" i="58"/>
  <c r="H93" i="107"/>
  <c r="J90" i="107"/>
  <c r="L27" i="32"/>
  <c r="D31" i="32"/>
  <c r="D124" i="42"/>
  <c r="L120" i="42"/>
  <c r="N120" i="42" s="1"/>
  <c r="F120" i="42"/>
  <c r="D31" i="11"/>
  <c r="L27" i="11"/>
  <c r="V108" i="45"/>
  <c r="P103" i="95"/>
  <c r="X99" i="95"/>
  <c r="Z99" i="95" s="1"/>
  <c r="R99" i="95"/>
  <c r="N27" i="110"/>
  <c r="H31" i="110"/>
  <c r="D124" i="39"/>
  <c r="L28" i="39"/>
  <c r="N28" i="39" s="1"/>
  <c r="D83" i="94"/>
  <c r="L79" i="94"/>
  <c r="N79" i="94" s="1"/>
  <c r="Z27" i="28"/>
  <c r="T31" i="28"/>
  <c r="T121" i="70"/>
  <c r="V117" i="70"/>
  <c r="X27" i="11"/>
  <c r="P31" i="11"/>
  <c r="X27" i="43"/>
  <c r="P31" i="43"/>
  <c r="T85" i="92"/>
  <c r="P62" i="102"/>
  <c r="X58" i="102"/>
  <c r="Z27" i="10"/>
  <c r="T31" i="10"/>
  <c r="N27" i="4"/>
  <c r="H31" i="4"/>
  <c r="N27" i="29"/>
  <c r="H31" i="29"/>
  <c r="D107" i="9"/>
  <c r="L103" i="9"/>
  <c r="N103" i="9" s="1"/>
  <c r="T31" i="46"/>
  <c r="Z27" i="46"/>
  <c r="X33" i="55"/>
  <c r="Z33" i="55" s="1"/>
  <c r="D149" i="74"/>
  <c r="L76" i="74"/>
  <c r="N76" i="74" s="1"/>
  <c r="P79" i="79"/>
  <c r="X22" i="79"/>
  <c r="Z22" i="79" s="1"/>
  <c r="L137" i="18"/>
  <c r="N137" i="18" s="1"/>
  <c r="D244" i="18"/>
  <c r="D36" i="88"/>
  <c r="L32" i="88"/>
  <c r="N32" i="88" s="1"/>
  <c r="X17" i="9"/>
  <c r="P103" i="9"/>
  <c r="H95" i="87"/>
  <c r="N91" i="87"/>
  <c r="P31" i="13"/>
  <c r="X27" i="13"/>
  <c r="H62" i="102"/>
  <c r="T31" i="4"/>
  <c r="Z27" i="4"/>
  <c r="N27" i="44"/>
  <c r="H31" i="44"/>
  <c r="L60" i="61"/>
  <c r="N60" i="61" s="1"/>
  <c r="N80" i="93"/>
  <c r="H84" i="93"/>
  <c r="H60" i="99"/>
  <c r="N27" i="7"/>
  <c r="H31" i="7"/>
  <c r="H96" i="68"/>
  <c r="N92" i="68"/>
  <c r="J92" i="68"/>
  <c r="T53" i="82"/>
  <c r="V49" i="82"/>
  <c r="Z25" i="98"/>
  <c r="T29" i="98"/>
  <c r="Z27" i="25"/>
  <c r="T31" i="25"/>
  <c r="Z27" i="49"/>
  <c r="T31" i="49"/>
  <c r="H232" i="12"/>
  <c r="J228" i="12"/>
  <c r="L76" i="58"/>
  <c r="N76" i="58" s="1"/>
  <c r="H46" i="101"/>
  <c r="T107" i="9"/>
  <c r="L43" i="84"/>
  <c r="N43" i="84" s="1"/>
  <c r="D121" i="84"/>
  <c r="T83" i="56"/>
  <c r="Z79" i="56"/>
  <c r="D103" i="95"/>
  <c r="L99" i="95"/>
  <c r="N99" i="95" s="1"/>
  <c r="P90" i="107"/>
  <c r="X86" i="107"/>
  <c r="Z86" i="107" s="1"/>
  <c r="L27" i="53"/>
  <c r="D31" i="53"/>
  <c r="L27" i="14"/>
  <c r="D31" i="14"/>
  <c r="X27" i="44"/>
  <c r="P31" i="44"/>
  <c r="V97" i="83"/>
  <c r="Z27" i="17"/>
  <c r="T31" i="17"/>
  <c r="L27" i="13"/>
  <c r="D31" i="13"/>
  <c r="P40" i="55"/>
  <c r="X37" i="55"/>
  <c r="T28" i="104"/>
  <c r="Z24" i="104"/>
  <c r="D31" i="34"/>
  <c r="L27" i="34"/>
  <c r="T62" i="102"/>
  <c r="Z58" i="102"/>
  <c r="T77" i="72"/>
  <c r="V74" i="72"/>
  <c r="X27" i="4"/>
  <c r="P31" i="4"/>
  <c r="Z27" i="44"/>
  <c r="T31" i="44"/>
  <c r="P31" i="32"/>
  <c r="X27" i="32"/>
  <c r="T26" i="89"/>
  <c r="Z22" i="89"/>
  <c r="Z27" i="43"/>
  <c r="T31" i="43"/>
  <c r="X27" i="50"/>
  <c r="P31" i="50"/>
  <c r="L27" i="31"/>
  <c r="D31" i="31"/>
  <c r="X22" i="6"/>
  <c r="P26" i="6"/>
  <c r="L27" i="23"/>
  <c r="D31" i="23"/>
  <c r="D78" i="59"/>
  <c r="X60" i="61"/>
  <c r="Z60" i="61" s="1"/>
  <c r="P64" i="61"/>
  <c r="P28" i="104"/>
  <c r="X24" i="104"/>
  <c r="P244" i="18"/>
  <c r="X137" i="18"/>
  <c r="Z137" i="18" s="1"/>
  <c r="D67" i="61"/>
  <c r="L64" i="61"/>
  <c r="H86" i="94"/>
  <c r="X118" i="27"/>
  <c r="Z118" i="27" s="1"/>
  <c r="P122" i="27"/>
  <c r="R118" i="27"/>
  <c r="D31" i="19"/>
  <c r="L27" i="19"/>
  <c r="T99" i="24"/>
  <c r="V96" i="24"/>
  <c r="L79" i="56"/>
  <c r="N79" i="56" s="1"/>
  <c r="D83" i="56"/>
  <c r="Z27" i="7"/>
  <c r="T31" i="7"/>
  <c r="H110" i="9"/>
  <c r="P101" i="51"/>
  <c r="X46" i="51"/>
  <c r="Z46" i="51" s="1"/>
  <c r="L80" i="58"/>
  <c r="D83" i="58"/>
  <c r="N106" i="21"/>
  <c r="H110" i="21"/>
  <c r="J106" i="21"/>
  <c r="L106" i="21"/>
  <c r="N27" i="13"/>
  <c r="H31" i="13"/>
  <c r="Z27" i="41"/>
  <c r="T31" i="41"/>
  <c r="D96" i="105"/>
  <c r="L23" i="105"/>
  <c r="N23" i="105" s="1"/>
  <c r="T110" i="21"/>
  <c r="Z106" i="21"/>
  <c r="V106" i="21"/>
  <c r="N27" i="25"/>
  <c r="H31" i="25"/>
  <c r="D70" i="69"/>
  <c r="L66" i="69"/>
  <c r="T225" i="15"/>
  <c r="V221" i="15"/>
  <c r="Z27" i="47"/>
  <c r="T31" i="47"/>
  <c r="T100" i="105"/>
  <c r="Z96" i="105"/>
  <c r="V96" i="105"/>
  <c r="D31" i="17"/>
  <c r="L27" i="17"/>
  <c r="D101" i="51"/>
  <c r="L46" i="51"/>
  <c r="N46" i="51" s="1"/>
  <c r="X27" i="34"/>
  <c r="P31" i="34"/>
  <c r="R115" i="15"/>
  <c r="N22" i="6"/>
  <c r="H26" i="6"/>
  <c r="T83" i="58"/>
  <c r="D28" i="108"/>
  <c r="L24" i="108"/>
  <c r="N27" i="53"/>
  <c r="H31" i="53"/>
  <c r="Z27" i="110"/>
  <c r="T31" i="110"/>
  <c r="Z27" i="37"/>
  <c r="T31" i="37"/>
  <c r="H86" i="33"/>
  <c r="J82" i="33"/>
  <c r="T31" i="13"/>
  <c r="Z27" i="13"/>
  <c r="Z27" i="111"/>
  <c r="T31" i="111"/>
  <c r="L70" i="80"/>
  <c r="N70" i="80" s="1"/>
  <c r="D74" i="80"/>
  <c r="L30" i="100"/>
  <c r="N30" i="100" s="1"/>
  <c r="D34" i="100"/>
  <c r="L71" i="59"/>
  <c r="L58" i="102"/>
  <c r="N58" i="102" s="1"/>
  <c r="D62" i="102"/>
  <c r="T31" i="23"/>
  <c r="Z27" i="23"/>
  <c r="H31" i="41"/>
  <c r="N27" i="41"/>
  <c r="D117" i="70"/>
  <c r="L52" i="70"/>
  <c r="N52" i="70" s="1"/>
  <c r="F52" i="70"/>
  <c r="D46" i="101"/>
  <c r="L43" i="101"/>
  <c r="N43" i="101" s="1"/>
  <c r="X27" i="38"/>
  <c r="P31" i="38"/>
  <c r="X146" i="3"/>
  <c r="Z146" i="3" s="1"/>
  <c r="P263" i="3"/>
  <c r="X167" i="30"/>
  <c r="Z167" i="30" s="1"/>
  <c r="P171" i="30"/>
  <c r="R167" i="30"/>
  <c r="P92" i="91"/>
  <c r="X92" i="91" s="1"/>
  <c r="Z92" i="91" s="1"/>
  <c r="X89" i="91"/>
  <c r="Z89" i="91" s="1"/>
  <c r="D71" i="109"/>
  <c r="L17" i="109"/>
  <c r="N17" i="109" s="1"/>
  <c r="N27" i="28"/>
  <c r="H31" i="28"/>
  <c r="Z27" i="50"/>
  <c r="T31" i="50"/>
  <c r="P92" i="24"/>
  <c r="X35" i="24"/>
  <c r="Z35" i="24" s="1"/>
  <c r="T124" i="42"/>
  <c r="Z120" i="42"/>
  <c r="V120" i="42"/>
  <c r="L17" i="48"/>
  <c r="N17" i="48" s="1"/>
  <c r="D71" i="48"/>
  <c r="P117" i="70"/>
  <c r="X52" i="70"/>
  <c r="Z52" i="70" s="1"/>
  <c r="T35" i="85"/>
  <c r="V32" i="85"/>
  <c r="L27" i="47"/>
  <c r="D31" i="47"/>
  <c r="H248" i="18"/>
  <c r="J244" i="18"/>
  <c r="V86" i="75"/>
  <c r="T89" i="75"/>
  <c r="T83" i="94"/>
  <c r="Z79" i="94"/>
  <c r="V89" i="33"/>
  <c r="D31" i="43"/>
  <c r="L27" i="43"/>
  <c r="N27" i="14"/>
  <c r="H31" i="14"/>
  <c r="H31" i="49"/>
  <c r="N27" i="49"/>
  <c r="T83" i="79"/>
  <c r="V79" i="79"/>
  <c r="P31" i="14"/>
  <c r="X27" i="14"/>
  <c r="X27" i="111"/>
  <c r="P31" i="111"/>
  <c r="P74" i="72"/>
  <c r="X70" i="72"/>
  <c r="Z70" i="72" s="1"/>
  <c r="X27" i="17"/>
  <c r="P31" i="17"/>
  <c r="P31" i="46"/>
  <c r="X27" i="46"/>
  <c r="H122" i="27"/>
  <c r="J118" i="27"/>
  <c r="T74" i="80"/>
  <c r="Z70" i="80"/>
  <c r="Z71" i="109"/>
  <c r="T75" i="109"/>
  <c r="V71" i="109"/>
  <c r="L27" i="22"/>
  <c r="D31" i="22"/>
  <c r="F76" i="74"/>
  <c r="P60" i="99"/>
  <c r="X56" i="99"/>
  <c r="Z56" i="99" s="1"/>
  <c r="N31" i="29" l="1"/>
  <c r="H36" i="29"/>
  <c r="N36" i="29" s="1"/>
  <c r="D105" i="76"/>
  <c r="L101" i="76"/>
  <c r="N101" i="76" s="1"/>
  <c r="F101" i="76"/>
  <c r="P113" i="21"/>
  <c r="X110" i="21"/>
  <c r="Z110" i="21" s="1"/>
  <c r="R110" i="21"/>
  <c r="Z31" i="111"/>
  <c r="T36" i="111"/>
  <c r="Z36" i="111" s="1"/>
  <c r="L31" i="32"/>
  <c r="D36" i="32"/>
  <c r="X49" i="82"/>
  <c r="Z49" i="82" s="1"/>
  <c r="P53" i="82"/>
  <c r="R49" i="82"/>
  <c r="P36" i="47"/>
  <c r="X31" i="47"/>
  <c r="T77" i="80"/>
  <c r="Z75" i="109"/>
  <c r="T78" i="109"/>
  <c r="V75" i="109"/>
  <c r="P77" i="72"/>
  <c r="X77" i="72" s="1"/>
  <c r="X74" i="72"/>
  <c r="Z74" i="72" s="1"/>
  <c r="L31" i="47"/>
  <c r="D36" i="47"/>
  <c r="T127" i="42"/>
  <c r="V124" i="42"/>
  <c r="P174" i="30"/>
  <c r="X171" i="30"/>
  <c r="Z171" i="30" s="1"/>
  <c r="R171" i="30"/>
  <c r="D121" i="70"/>
  <c r="L117" i="70"/>
  <c r="N117" i="70" s="1"/>
  <c r="F117" i="70"/>
  <c r="L74" i="80"/>
  <c r="D77" i="80"/>
  <c r="T103" i="105"/>
  <c r="Z100" i="105"/>
  <c r="V100" i="105"/>
  <c r="T113" i="21"/>
  <c r="V110" i="21"/>
  <c r="N60" i="99"/>
  <c r="H63" i="99"/>
  <c r="D248" i="18"/>
  <c r="L244" i="18"/>
  <c r="N244" i="18" s="1"/>
  <c r="F244" i="18"/>
  <c r="D110" i="9"/>
  <c r="L110" i="9" s="1"/>
  <c r="L107" i="9"/>
  <c r="N107" i="9" s="1"/>
  <c r="N31" i="110"/>
  <c r="H36" i="110"/>
  <c r="N36" i="110" s="1"/>
  <c r="D99" i="68"/>
  <c r="L96" i="68"/>
  <c r="D122" i="27"/>
  <c r="L118" i="27"/>
  <c r="N118" i="27" s="1"/>
  <c r="F118" i="27"/>
  <c r="N31" i="46"/>
  <c r="H36" i="46"/>
  <c r="N36" i="46" s="1"/>
  <c r="T36" i="32"/>
  <c r="Z36" i="32" s="1"/>
  <c r="Z31" i="32"/>
  <c r="L267" i="3"/>
  <c r="D272" i="3"/>
  <c r="F267" i="3"/>
  <c r="N105" i="45"/>
  <c r="H108" i="45"/>
  <c r="J105" i="45"/>
  <c r="T36" i="52"/>
  <c r="Z36" i="52" s="1"/>
  <c r="Z31" i="52"/>
  <c r="L92" i="24"/>
  <c r="N92" i="24" s="1"/>
  <c r="D96" i="24"/>
  <c r="X31" i="16"/>
  <c r="P36" i="16"/>
  <c r="D82" i="92"/>
  <c r="L78" i="92"/>
  <c r="N78" i="92" s="1"/>
  <c r="L29" i="98"/>
  <c r="D32" i="98"/>
  <c r="F29" i="98"/>
  <c r="T251" i="18"/>
  <c r="V248" i="18"/>
  <c r="P153" i="74"/>
  <c r="X149" i="74"/>
  <c r="Z149" i="74" s="1"/>
  <c r="R149" i="74"/>
  <c r="L31" i="16"/>
  <c r="D36" i="16"/>
  <c r="L82" i="33"/>
  <c r="N82" i="33" s="1"/>
  <c r="D86" i="33"/>
  <c r="F82" i="33"/>
  <c r="P85" i="92"/>
  <c r="X85" i="92" s="1"/>
  <c r="Z85" i="92" s="1"/>
  <c r="X82" i="92"/>
  <c r="Z82" i="92" s="1"/>
  <c r="N31" i="47"/>
  <c r="H36" i="47"/>
  <c r="N36" i="47" s="1"/>
  <c r="L26" i="6"/>
  <c r="D31" i="6"/>
  <c r="Z31" i="112"/>
  <c r="T36" i="112"/>
  <c r="Z36" i="112" s="1"/>
  <c r="V108" i="51"/>
  <c r="H36" i="16"/>
  <c r="N36" i="16" s="1"/>
  <c r="N31" i="16"/>
  <c r="N65" i="60"/>
  <c r="H124" i="70"/>
  <c r="J121" i="70"/>
  <c r="T174" i="30"/>
  <c r="V171" i="30"/>
  <c r="H77" i="72"/>
  <c r="J74" i="72"/>
  <c r="P96" i="24"/>
  <c r="X92" i="24"/>
  <c r="Z92" i="24" s="1"/>
  <c r="R92" i="24"/>
  <c r="H36" i="38"/>
  <c r="N36" i="38" s="1"/>
  <c r="N31" i="38"/>
  <c r="N31" i="4"/>
  <c r="H36" i="4"/>
  <c r="N36" i="4" s="1"/>
  <c r="X31" i="29"/>
  <c r="P36" i="29"/>
  <c r="L31" i="41"/>
  <c r="D36" i="41"/>
  <c r="Z31" i="53"/>
  <c r="T36" i="53"/>
  <c r="Z36" i="53" s="1"/>
  <c r="L167" i="30"/>
  <c r="N167" i="30" s="1"/>
  <c r="D171" i="30"/>
  <c r="F167" i="30"/>
  <c r="J56" i="82"/>
  <c r="X127" i="36"/>
  <c r="Z127" i="36" s="1"/>
  <c r="P131" i="36"/>
  <c r="R127" i="36"/>
  <c r="N31" i="34"/>
  <c r="H36" i="34"/>
  <c r="N36" i="34" s="1"/>
  <c r="H108" i="51"/>
  <c r="J105" i="51"/>
  <c r="D86" i="79"/>
  <c r="L86" i="79" s="1"/>
  <c r="N86" i="79" s="1"/>
  <c r="L83" i="79"/>
  <c r="N83" i="79" s="1"/>
  <c r="D86" i="75"/>
  <c r="L82" i="75"/>
  <c r="N82" i="75" s="1"/>
  <c r="F82" i="75"/>
  <c r="D36" i="50"/>
  <c r="L31" i="50"/>
  <c r="N74" i="80"/>
  <c r="H77" i="80"/>
  <c r="P105" i="76"/>
  <c r="X101" i="76"/>
  <c r="Z101" i="76" s="1"/>
  <c r="R101" i="76"/>
  <c r="P108" i="45"/>
  <c r="X105" i="45"/>
  <c r="Z105" i="45" s="1"/>
  <c r="R105" i="45"/>
  <c r="L31" i="26"/>
  <c r="D36" i="26"/>
  <c r="Z78" i="59"/>
  <c r="X124" i="39"/>
  <c r="Z124" i="39" s="1"/>
  <c r="P128" i="39"/>
  <c r="R124" i="39"/>
  <c r="L31" i="20"/>
  <c r="D36" i="20"/>
  <c r="V128" i="84"/>
  <c r="V35" i="85"/>
  <c r="P248" i="18"/>
  <c r="X244" i="18"/>
  <c r="Z244" i="18" s="1"/>
  <c r="R244" i="18"/>
  <c r="D36" i="34"/>
  <c r="L31" i="34"/>
  <c r="D106" i="95"/>
  <c r="L106" i="95" s="1"/>
  <c r="N106" i="95" s="1"/>
  <c r="L103" i="95"/>
  <c r="N103" i="95" s="1"/>
  <c r="T56" i="82"/>
  <c r="V53" i="82"/>
  <c r="H98" i="87"/>
  <c r="X103" i="95"/>
  <c r="Z103" i="95" s="1"/>
  <c r="P106" i="95"/>
  <c r="R103" i="95"/>
  <c r="Z31" i="40"/>
  <c r="T36" i="40"/>
  <c r="Z36" i="40" s="1"/>
  <c r="Z31" i="11"/>
  <c r="T36" i="11"/>
  <c r="Z36" i="11" s="1"/>
  <c r="T36" i="14"/>
  <c r="Z36" i="14" s="1"/>
  <c r="Z31" i="14"/>
  <c r="H31" i="108"/>
  <c r="N31" i="108" s="1"/>
  <c r="N28" i="108"/>
  <c r="L78" i="57"/>
  <c r="D81" i="57"/>
  <c r="T36" i="16"/>
  <c r="Z36" i="16" s="1"/>
  <c r="Z31" i="16"/>
  <c r="Z104" i="63"/>
  <c r="T107" i="63"/>
  <c r="T87" i="93"/>
  <c r="J86" i="79"/>
  <c r="T65" i="60"/>
  <c r="X62" i="60"/>
  <c r="Z62" i="60" s="1"/>
  <c r="P36" i="7"/>
  <c r="X31" i="7"/>
  <c r="X31" i="40"/>
  <c r="P36" i="40"/>
  <c r="X31" i="49"/>
  <c r="P36" i="49"/>
  <c r="V93" i="107"/>
  <c r="T125" i="27"/>
  <c r="V122" i="27"/>
  <c r="X31" i="19"/>
  <c r="P36" i="19"/>
  <c r="Z31" i="38"/>
  <c r="T36" i="38"/>
  <c r="Z36" i="38" s="1"/>
  <c r="H228" i="15"/>
  <c r="J225" i="15"/>
  <c r="H103" i="105"/>
  <c r="J100" i="105"/>
  <c r="X31" i="111"/>
  <c r="P36" i="111"/>
  <c r="N26" i="6"/>
  <c r="H31" i="6"/>
  <c r="Z31" i="5"/>
  <c r="T36" i="5"/>
  <c r="Z36" i="5" s="1"/>
  <c r="X31" i="112"/>
  <c r="P36" i="112"/>
  <c r="X100" i="105"/>
  <c r="P103" i="105"/>
  <c r="R100" i="105"/>
  <c r="P267" i="3"/>
  <c r="X263" i="3"/>
  <c r="Z263" i="3" s="1"/>
  <c r="R263" i="3"/>
  <c r="T110" i="9"/>
  <c r="X43" i="101"/>
  <c r="Z43" i="101" s="1"/>
  <c r="P46" i="101"/>
  <c r="N31" i="50"/>
  <c r="H36" i="50"/>
  <c r="N36" i="50" s="1"/>
  <c r="X89" i="97"/>
  <c r="Z89" i="97" s="1"/>
  <c r="P92" i="97"/>
  <c r="X92" i="97" s="1"/>
  <c r="Z92" i="97" s="1"/>
  <c r="T228" i="15"/>
  <c r="V225" i="15"/>
  <c r="L31" i="31"/>
  <c r="D36" i="31"/>
  <c r="N31" i="44"/>
  <c r="H36" i="44"/>
  <c r="N36" i="44" s="1"/>
  <c r="L60" i="99"/>
  <c r="D63" i="99"/>
  <c r="L63" i="99" s="1"/>
  <c r="P63" i="99"/>
  <c r="X63" i="99" s="1"/>
  <c r="X60" i="99"/>
  <c r="Z60" i="99" s="1"/>
  <c r="T86" i="94"/>
  <c r="N31" i="28"/>
  <c r="H36" i="28"/>
  <c r="N36" i="28" s="1"/>
  <c r="T36" i="13"/>
  <c r="Z36" i="13" s="1"/>
  <c r="Z31" i="13"/>
  <c r="N31" i="53"/>
  <c r="H36" i="53"/>
  <c r="N36" i="53" s="1"/>
  <c r="Z31" i="41"/>
  <c r="T36" i="41"/>
  <c r="Z36" i="41" s="1"/>
  <c r="V99" i="24"/>
  <c r="P36" i="32"/>
  <c r="X31" i="32"/>
  <c r="P107" i="9"/>
  <c r="X103" i="9"/>
  <c r="Z103" i="9" s="1"/>
  <c r="P83" i="79"/>
  <c r="X79" i="79"/>
  <c r="Z79" i="79" s="1"/>
  <c r="R79" i="79"/>
  <c r="Z31" i="10"/>
  <c r="T36" i="10"/>
  <c r="Z36" i="10" s="1"/>
  <c r="T124" i="70"/>
  <c r="V121" i="70"/>
  <c r="X31" i="10"/>
  <c r="P36" i="10"/>
  <c r="L31" i="35"/>
  <c r="D36" i="35"/>
  <c r="L89" i="91"/>
  <c r="N89" i="91" s="1"/>
  <c r="D92" i="91"/>
  <c r="L92" i="91" s="1"/>
  <c r="N92" i="91" s="1"/>
  <c r="D107" i="63"/>
  <c r="L104" i="63"/>
  <c r="N104" i="63" s="1"/>
  <c r="V98" i="103"/>
  <c r="X29" i="98"/>
  <c r="P32" i="98"/>
  <c r="R29" i="98"/>
  <c r="L86" i="107"/>
  <c r="N86" i="107" s="1"/>
  <c r="D90" i="107"/>
  <c r="X39" i="88"/>
  <c r="L31" i="38"/>
  <c r="D36" i="38"/>
  <c r="H127" i="42"/>
  <c r="J124" i="42"/>
  <c r="P36" i="53"/>
  <c r="X31" i="53"/>
  <c r="J134" i="36"/>
  <c r="L95" i="103"/>
  <c r="D98" i="103"/>
  <c r="P29" i="89"/>
  <c r="X26" i="89"/>
  <c r="D36" i="10"/>
  <c r="L31" i="10"/>
  <c r="H67" i="61"/>
  <c r="L67" i="61" s="1"/>
  <c r="N64" i="61"/>
  <c r="V78" i="48"/>
  <c r="X221" i="15"/>
  <c r="Z221" i="15" s="1"/>
  <c r="P225" i="15"/>
  <c r="R221" i="15"/>
  <c r="Z31" i="29"/>
  <c r="T36" i="29"/>
  <c r="Z36" i="29" s="1"/>
  <c r="X31" i="22"/>
  <c r="P36" i="22"/>
  <c r="Z78" i="57"/>
  <c r="T81" i="57"/>
  <c r="X91" i="103"/>
  <c r="Z91" i="103" s="1"/>
  <c r="P95" i="103"/>
  <c r="R91" i="103"/>
  <c r="D36" i="43"/>
  <c r="L31" i="43"/>
  <c r="Z31" i="47"/>
  <c r="T36" i="47"/>
  <c r="Z36" i="47" s="1"/>
  <c r="L232" i="12"/>
  <c r="D235" i="12"/>
  <c r="F232" i="12"/>
  <c r="L31" i="8"/>
  <c r="D36" i="8"/>
  <c r="Z36" i="88"/>
  <c r="T39" i="88"/>
  <c r="Z28" i="108"/>
  <c r="T31" i="108"/>
  <c r="Z31" i="108" s="1"/>
  <c r="P36" i="13"/>
  <c r="X31" i="13"/>
  <c r="X82" i="33"/>
  <c r="Z82" i="33" s="1"/>
  <c r="P86" i="33"/>
  <c r="R82" i="33"/>
  <c r="H36" i="10"/>
  <c r="N36" i="10" s="1"/>
  <c r="N31" i="10"/>
  <c r="P121" i="70"/>
  <c r="X117" i="70"/>
  <c r="Z117" i="70" s="1"/>
  <c r="R117" i="70"/>
  <c r="X28" i="104"/>
  <c r="P31" i="104"/>
  <c r="X31" i="50"/>
  <c r="P36" i="50"/>
  <c r="Z31" i="44"/>
  <c r="T36" i="44"/>
  <c r="Z36" i="44" s="1"/>
  <c r="Z28" i="104"/>
  <c r="T31" i="104"/>
  <c r="Z31" i="104" s="1"/>
  <c r="T86" i="56"/>
  <c r="Z31" i="28"/>
  <c r="T36" i="28"/>
  <c r="Z36" i="28" s="1"/>
  <c r="J93" i="107"/>
  <c r="D98" i="87"/>
  <c r="L98" i="87" s="1"/>
  <c r="L95" i="87"/>
  <c r="N95" i="87" s="1"/>
  <c r="H32" i="98"/>
  <c r="N32" i="98" s="1"/>
  <c r="N29" i="98"/>
  <c r="P36" i="5"/>
  <c r="X31" i="5"/>
  <c r="H39" i="88"/>
  <c r="Z31" i="35"/>
  <c r="T36" i="35"/>
  <c r="Z36" i="35" s="1"/>
  <c r="H36" i="17"/>
  <c r="N36" i="17" s="1"/>
  <c r="N31" i="17"/>
  <c r="D36" i="44"/>
  <c r="L31" i="44"/>
  <c r="N31" i="35"/>
  <c r="H36" i="35"/>
  <c r="N36" i="35" s="1"/>
  <c r="L105" i="45"/>
  <c r="D108" i="45"/>
  <c r="F105" i="45"/>
  <c r="D31" i="104"/>
  <c r="L31" i="104" s="1"/>
  <c r="L28" i="104"/>
  <c r="Z26" i="54"/>
  <c r="T31" i="54"/>
  <c r="X31" i="54" s="1"/>
  <c r="Z31" i="20"/>
  <c r="T36" i="20"/>
  <c r="Z36" i="20" s="1"/>
  <c r="H36" i="22"/>
  <c r="N36" i="22" s="1"/>
  <c r="N31" i="22"/>
  <c r="H36" i="37"/>
  <c r="N36" i="37" s="1"/>
  <c r="N31" i="37"/>
  <c r="N95" i="103"/>
  <c r="H98" i="103"/>
  <c r="J95" i="103"/>
  <c r="Z37" i="55"/>
  <c r="T40" i="55"/>
  <c r="N97" i="83"/>
  <c r="J97" i="83"/>
  <c r="X31" i="20"/>
  <c r="P36" i="20"/>
  <c r="P232" i="12"/>
  <c r="X228" i="12"/>
  <c r="Z228" i="12" s="1"/>
  <c r="R228" i="12"/>
  <c r="P96" i="68"/>
  <c r="X92" i="68"/>
  <c r="Z92" i="68" s="1"/>
  <c r="R92" i="68"/>
  <c r="H113" i="21"/>
  <c r="J110" i="21"/>
  <c r="L110" i="21"/>
  <c r="N110" i="21" s="1"/>
  <c r="H87" i="93"/>
  <c r="N75" i="59"/>
  <c r="H78" i="59"/>
  <c r="N78" i="57"/>
  <c r="H81" i="57"/>
  <c r="T65" i="102"/>
  <c r="D97" i="83"/>
  <c r="L97" i="83" s="1"/>
  <c r="L94" i="83"/>
  <c r="N94" i="83" s="1"/>
  <c r="T108" i="76"/>
  <c r="V105" i="76"/>
  <c r="D36" i="111"/>
  <c r="L31" i="111"/>
  <c r="N31" i="112"/>
  <c r="H36" i="112"/>
  <c r="N36" i="112" s="1"/>
  <c r="N46" i="101"/>
  <c r="X31" i="34"/>
  <c r="P36" i="34"/>
  <c r="H125" i="27"/>
  <c r="J122" i="27"/>
  <c r="V89" i="75"/>
  <c r="T86" i="79"/>
  <c r="V83" i="79"/>
  <c r="L46" i="101"/>
  <c r="L62" i="102"/>
  <c r="D65" i="102"/>
  <c r="H89" i="33"/>
  <c r="J86" i="33"/>
  <c r="D105" i="51"/>
  <c r="L101" i="51"/>
  <c r="N101" i="51" s="1"/>
  <c r="F101" i="51"/>
  <c r="L70" i="69"/>
  <c r="D73" i="69"/>
  <c r="L73" i="69" s="1"/>
  <c r="N31" i="13"/>
  <c r="H36" i="13"/>
  <c r="N36" i="13" s="1"/>
  <c r="D36" i="19"/>
  <c r="L31" i="19"/>
  <c r="X64" i="61"/>
  <c r="Z64" i="61" s="1"/>
  <c r="P67" i="61"/>
  <c r="X67" i="61" s="1"/>
  <c r="Z67" i="61" s="1"/>
  <c r="X31" i="44"/>
  <c r="P36" i="44"/>
  <c r="D125" i="84"/>
  <c r="L121" i="84"/>
  <c r="N121" i="84" s="1"/>
  <c r="F121" i="84"/>
  <c r="T36" i="4"/>
  <c r="Z36" i="4" s="1"/>
  <c r="Z31" i="4"/>
  <c r="L149" i="74"/>
  <c r="N149" i="74" s="1"/>
  <c r="D153" i="74"/>
  <c r="F149" i="74"/>
  <c r="X83" i="56"/>
  <c r="Z83" i="56" s="1"/>
  <c r="N31" i="11"/>
  <c r="H36" i="11"/>
  <c r="N36" i="11" s="1"/>
  <c r="N28" i="104"/>
  <c r="H31" i="104"/>
  <c r="N31" i="104" s="1"/>
  <c r="L31" i="46"/>
  <c r="D36" i="46"/>
  <c r="P29" i="106"/>
  <c r="X29" i="106" s="1"/>
  <c r="X26" i="106"/>
  <c r="T36" i="31"/>
  <c r="Z36" i="31" s="1"/>
  <c r="Z31" i="31"/>
  <c r="X28" i="108"/>
  <c r="D36" i="4"/>
  <c r="L31" i="4"/>
  <c r="H36" i="20"/>
  <c r="N36" i="20" s="1"/>
  <c r="N31" i="20"/>
  <c r="J131" i="39"/>
  <c r="X31" i="41"/>
  <c r="P36" i="41"/>
  <c r="P36" i="28"/>
  <c r="X31" i="28"/>
  <c r="P77" i="80"/>
  <c r="X77" i="80" s="1"/>
  <c r="X74" i="80"/>
  <c r="Z74" i="80" s="1"/>
  <c r="N31" i="52"/>
  <c r="H36" i="52"/>
  <c r="N36" i="52" s="1"/>
  <c r="D225" i="15"/>
  <c r="L221" i="15"/>
  <c r="N221" i="15" s="1"/>
  <c r="F221" i="15"/>
  <c r="X31" i="35"/>
  <c r="P36" i="35"/>
  <c r="N26" i="89"/>
  <c r="H29" i="89"/>
  <c r="N29" i="89" s="1"/>
  <c r="T46" i="101"/>
  <c r="X26" i="6"/>
  <c r="P31" i="6"/>
  <c r="X31" i="6" s="1"/>
  <c r="Z29" i="98"/>
  <c r="T32" i="98"/>
  <c r="Z32" i="98" s="1"/>
  <c r="D127" i="42"/>
  <c r="L124" i="42"/>
  <c r="N124" i="42" s="1"/>
  <c r="F124" i="42"/>
  <c r="T36" i="26"/>
  <c r="Z36" i="26" s="1"/>
  <c r="Z31" i="26"/>
  <c r="H156" i="74"/>
  <c r="J153" i="74"/>
  <c r="D36" i="49"/>
  <c r="L31" i="49"/>
  <c r="H36" i="41"/>
  <c r="N36" i="41" s="1"/>
  <c r="N31" i="41"/>
  <c r="N31" i="32"/>
  <c r="H36" i="32"/>
  <c r="N36" i="32" s="1"/>
  <c r="P36" i="46"/>
  <c r="X31" i="46"/>
  <c r="D75" i="109"/>
  <c r="L71" i="109"/>
  <c r="N71" i="109" s="1"/>
  <c r="F71" i="109"/>
  <c r="L28" i="108"/>
  <c r="D31" i="108"/>
  <c r="L31" i="108" s="1"/>
  <c r="N31" i="25"/>
  <c r="H36" i="25"/>
  <c r="N36" i="25" s="1"/>
  <c r="P105" i="51"/>
  <c r="X101" i="51"/>
  <c r="Z101" i="51" s="1"/>
  <c r="R101" i="51"/>
  <c r="Z31" i="43"/>
  <c r="T36" i="43"/>
  <c r="Z36" i="43" s="1"/>
  <c r="X31" i="4"/>
  <c r="P36" i="4"/>
  <c r="N232" i="12"/>
  <c r="H235" i="12"/>
  <c r="J232" i="12"/>
  <c r="N96" i="68"/>
  <c r="H99" i="68"/>
  <c r="J96" i="68"/>
  <c r="X62" i="102"/>
  <c r="Z62" i="102" s="1"/>
  <c r="P65" i="102"/>
  <c r="X65" i="102" s="1"/>
  <c r="X86" i="56"/>
  <c r="P125" i="84"/>
  <c r="X121" i="84"/>
  <c r="Z121" i="84" s="1"/>
  <c r="R121" i="84"/>
  <c r="H36" i="111"/>
  <c r="N36" i="111" s="1"/>
  <c r="N31" i="111"/>
  <c r="T29" i="106"/>
  <c r="Z29" i="106" s="1"/>
  <c r="Z26" i="106"/>
  <c r="N267" i="3"/>
  <c r="H272" i="3"/>
  <c r="J267" i="3"/>
  <c r="P36" i="23"/>
  <c r="X31" i="23"/>
  <c r="X124" i="42"/>
  <c r="Z124" i="42" s="1"/>
  <c r="P127" i="42"/>
  <c r="R124" i="42"/>
  <c r="H36" i="26"/>
  <c r="N36" i="26" s="1"/>
  <c r="N31" i="26"/>
  <c r="X31" i="26"/>
  <c r="P36" i="26"/>
  <c r="N31" i="8"/>
  <c r="H36" i="8"/>
  <c r="N36" i="8" s="1"/>
  <c r="T235" i="12"/>
  <c r="V232" i="12"/>
  <c r="L31" i="52"/>
  <c r="D36" i="52"/>
  <c r="T106" i="95"/>
  <c r="V103" i="95"/>
  <c r="H107" i="63"/>
  <c r="X31" i="37"/>
  <c r="P36" i="37"/>
  <c r="T37" i="100"/>
  <c r="L31" i="54"/>
  <c r="H36" i="19"/>
  <c r="N36" i="19" s="1"/>
  <c r="N31" i="19"/>
  <c r="L83" i="56"/>
  <c r="N83" i="56" s="1"/>
  <c r="D86" i="56"/>
  <c r="L86" i="56" s="1"/>
  <c r="N86" i="56" s="1"/>
  <c r="Z70" i="69"/>
  <c r="T73" i="69"/>
  <c r="X73" i="69" s="1"/>
  <c r="V70" i="69"/>
  <c r="P86" i="94"/>
  <c r="X83" i="94"/>
  <c r="Z83" i="94" s="1"/>
  <c r="R83" i="94"/>
  <c r="X94" i="83"/>
  <c r="Z94" i="83" s="1"/>
  <c r="P97" i="83"/>
  <c r="X97" i="83" s="1"/>
  <c r="Z97" i="83" s="1"/>
  <c r="P36" i="14"/>
  <c r="X31" i="14"/>
  <c r="T36" i="23"/>
  <c r="Z36" i="23" s="1"/>
  <c r="Z31" i="23"/>
  <c r="L31" i="22"/>
  <c r="D36" i="22"/>
  <c r="P36" i="17"/>
  <c r="X31" i="17"/>
  <c r="H36" i="49"/>
  <c r="N36" i="49" s="1"/>
  <c r="N31" i="49"/>
  <c r="Z31" i="37"/>
  <c r="T36" i="37"/>
  <c r="Z36" i="37" s="1"/>
  <c r="D36" i="17"/>
  <c r="L31" i="17"/>
  <c r="N110" i="9"/>
  <c r="X122" i="27"/>
  <c r="Z122" i="27" s="1"/>
  <c r="P125" i="27"/>
  <c r="R122" i="27"/>
  <c r="L75" i="59"/>
  <c r="L31" i="14"/>
  <c r="D36" i="14"/>
  <c r="Z31" i="49"/>
  <c r="T36" i="49"/>
  <c r="Z36" i="49" s="1"/>
  <c r="N31" i="7"/>
  <c r="H36" i="7"/>
  <c r="N36" i="7" s="1"/>
  <c r="D86" i="94"/>
  <c r="L86" i="94" s="1"/>
  <c r="L83" i="94"/>
  <c r="N83" i="94" s="1"/>
  <c r="L31" i="29"/>
  <c r="D36" i="29"/>
  <c r="D53" i="82"/>
  <c r="L49" i="82"/>
  <c r="N49" i="82" s="1"/>
  <c r="F49" i="82"/>
  <c r="P35" i="85"/>
  <c r="X32" i="85"/>
  <c r="Z32" i="85" s="1"/>
  <c r="R32" i="85"/>
  <c r="D77" i="72"/>
  <c r="L77" i="72" s="1"/>
  <c r="L74" i="72"/>
  <c r="N74" i="72" s="1"/>
  <c r="L31" i="25"/>
  <c r="D36" i="25"/>
  <c r="Z31" i="8"/>
  <c r="T36" i="8"/>
  <c r="Z36" i="8" s="1"/>
  <c r="T99" i="68"/>
  <c r="V96" i="68"/>
  <c r="H29" i="106"/>
  <c r="N29" i="106" s="1"/>
  <c r="N26" i="106"/>
  <c r="D35" i="85"/>
  <c r="L32" i="85"/>
  <c r="N32" i="85" s="1"/>
  <c r="F32" i="85"/>
  <c r="Z63" i="99"/>
  <c r="V131" i="39"/>
  <c r="Z31" i="19"/>
  <c r="T36" i="19"/>
  <c r="Z36" i="19" s="1"/>
  <c r="D36" i="7"/>
  <c r="L31" i="7"/>
  <c r="X75" i="48"/>
  <c r="Z75" i="48" s="1"/>
  <c r="P78" i="48"/>
  <c r="R75" i="48"/>
  <c r="X75" i="109"/>
  <c r="P78" i="109"/>
  <c r="R75" i="109"/>
  <c r="L31" i="37"/>
  <c r="D36" i="37"/>
  <c r="H37" i="100"/>
  <c r="N34" i="100"/>
  <c r="T272" i="3"/>
  <c r="V267" i="3"/>
  <c r="H128" i="84"/>
  <c r="J125" i="84"/>
  <c r="P36" i="52"/>
  <c r="X31" i="52"/>
  <c r="P36" i="31"/>
  <c r="X31" i="31"/>
  <c r="P83" i="58"/>
  <c r="X83" i="58" s="1"/>
  <c r="Z83" i="58" s="1"/>
  <c r="X80" i="58"/>
  <c r="Z80" i="58" s="1"/>
  <c r="X31" i="11"/>
  <c r="P36" i="11"/>
  <c r="D100" i="105"/>
  <c r="L96" i="105"/>
  <c r="N96" i="105" s="1"/>
  <c r="F96" i="105"/>
  <c r="Z31" i="34"/>
  <c r="T36" i="34"/>
  <c r="Z36" i="34" s="1"/>
  <c r="N37" i="55"/>
  <c r="H40" i="55"/>
  <c r="Z31" i="50"/>
  <c r="T36" i="50"/>
  <c r="Z36" i="50" s="1"/>
  <c r="Z31" i="17"/>
  <c r="T36" i="17"/>
  <c r="Z36" i="17" s="1"/>
  <c r="N31" i="14"/>
  <c r="H36" i="14"/>
  <c r="N36" i="14" s="1"/>
  <c r="L78" i="59"/>
  <c r="T36" i="46"/>
  <c r="Z36" i="46" s="1"/>
  <c r="Z31" i="46"/>
  <c r="D36" i="11"/>
  <c r="L31" i="11"/>
  <c r="N80" i="58"/>
  <c r="H83" i="58"/>
  <c r="L83" i="58" s="1"/>
  <c r="T36" i="22"/>
  <c r="Z36" i="22" s="1"/>
  <c r="Z31" i="22"/>
  <c r="L89" i="97"/>
  <c r="N89" i="97" s="1"/>
  <c r="D92" i="97"/>
  <c r="L92" i="97" s="1"/>
  <c r="N92" i="97" s="1"/>
  <c r="L26" i="106"/>
  <c r="D29" i="106"/>
  <c r="L29" i="106" s="1"/>
  <c r="X31" i="25"/>
  <c r="P36" i="25"/>
  <c r="P78" i="59"/>
  <c r="X78" i="59" s="1"/>
  <c r="X75" i="59"/>
  <c r="Z75" i="59" s="1"/>
  <c r="V134" i="36"/>
  <c r="T156" i="74"/>
  <c r="V153" i="74"/>
  <c r="L31" i="40"/>
  <c r="D36" i="40"/>
  <c r="H36" i="43"/>
  <c r="N36" i="43" s="1"/>
  <c r="N31" i="43"/>
  <c r="X37" i="100"/>
  <c r="N31" i="40"/>
  <c r="H36" i="40"/>
  <c r="N36" i="40" s="1"/>
  <c r="D36" i="5"/>
  <c r="L31" i="5"/>
  <c r="X95" i="87"/>
  <c r="Z95" i="87" s="1"/>
  <c r="P98" i="87"/>
  <c r="X98" i="87" s="1"/>
  <c r="Z98" i="87" s="1"/>
  <c r="D87" i="93"/>
  <c r="L84" i="93"/>
  <c r="N84" i="93" s="1"/>
  <c r="N31" i="31"/>
  <c r="H36" i="31"/>
  <c r="N36" i="31" s="1"/>
  <c r="L31" i="28"/>
  <c r="D36" i="28"/>
  <c r="D36" i="112"/>
  <c r="L31" i="112"/>
  <c r="P93" i="107"/>
  <c r="X93" i="107" s="1"/>
  <c r="Z93" i="107" s="1"/>
  <c r="X90" i="107"/>
  <c r="Z90" i="107" s="1"/>
  <c r="N31" i="23"/>
  <c r="H36" i="23"/>
  <c r="N36" i="23" s="1"/>
  <c r="X31" i="38"/>
  <c r="P36" i="38"/>
  <c r="D75" i="48"/>
  <c r="L71" i="48"/>
  <c r="N71" i="48" s="1"/>
  <c r="F71" i="48"/>
  <c r="H251" i="18"/>
  <c r="J248" i="18"/>
  <c r="L34" i="100"/>
  <c r="D37" i="100"/>
  <c r="L37" i="100" s="1"/>
  <c r="X40" i="55"/>
  <c r="Z31" i="110"/>
  <c r="T36" i="110"/>
  <c r="Z36" i="110" s="1"/>
  <c r="Z31" i="7"/>
  <c r="T36" i="7"/>
  <c r="Z36" i="7" s="1"/>
  <c r="N86" i="94"/>
  <c r="D36" i="23"/>
  <c r="L31" i="23"/>
  <c r="T29" i="89"/>
  <c r="Z29" i="89" s="1"/>
  <c r="Z26" i="89"/>
  <c r="Z77" i="72"/>
  <c r="V77" i="72"/>
  <c r="L31" i="13"/>
  <c r="D36" i="13"/>
  <c r="L31" i="53"/>
  <c r="D36" i="53"/>
  <c r="Z31" i="25"/>
  <c r="T36" i="25"/>
  <c r="Z36" i="25" s="1"/>
  <c r="N62" i="102"/>
  <c r="H65" i="102"/>
  <c r="L36" i="88"/>
  <c r="N36" i="88" s="1"/>
  <c r="D39" i="88"/>
  <c r="X31" i="43"/>
  <c r="P36" i="43"/>
  <c r="D128" i="39"/>
  <c r="L124" i="39"/>
  <c r="N124" i="39" s="1"/>
  <c r="F124" i="39"/>
  <c r="X31" i="8"/>
  <c r="P36" i="8"/>
  <c r="D131" i="36"/>
  <c r="L127" i="36"/>
  <c r="N127" i="36" s="1"/>
  <c r="F127" i="36"/>
  <c r="N31" i="5"/>
  <c r="H36" i="5"/>
  <c r="N36" i="5" s="1"/>
  <c r="H99" i="24"/>
  <c r="J96" i="24"/>
  <c r="Z31" i="6"/>
  <c r="H31" i="54"/>
  <c r="N26" i="54"/>
  <c r="L31" i="110"/>
  <c r="D36" i="110"/>
  <c r="X31" i="110"/>
  <c r="P36" i="110"/>
  <c r="X104" i="63"/>
  <c r="P107" i="63"/>
  <c r="X107" i="63" s="1"/>
  <c r="X34" i="100"/>
  <c r="Z34" i="100" s="1"/>
  <c r="J86" i="75"/>
  <c r="H89" i="75"/>
  <c r="X84" i="93"/>
  <c r="Z84" i="93" s="1"/>
  <c r="P87" i="93"/>
  <c r="X87" i="93" s="1"/>
  <c r="P86" i="75"/>
  <c r="X82" i="75"/>
  <c r="Z82" i="75" s="1"/>
  <c r="R82" i="75"/>
  <c r="J108" i="76"/>
  <c r="L36" i="4" l="1"/>
  <c r="L36" i="29"/>
  <c r="L36" i="7"/>
  <c r="L36" i="13"/>
  <c r="X36" i="5"/>
  <c r="L36" i="20"/>
  <c r="X36" i="41"/>
  <c r="L36" i="46"/>
  <c r="X36" i="31"/>
  <c r="X36" i="35"/>
  <c r="X36" i="53"/>
  <c r="L36" i="10"/>
  <c r="L36" i="53"/>
  <c r="L36" i="25"/>
  <c r="X36" i="37"/>
  <c r="L36" i="22"/>
  <c r="X36" i="32"/>
  <c r="X36" i="112"/>
  <c r="X36" i="20"/>
  <c r="L36" i="110"/>
  <c r="L36" i="112"/>
  <c r="L36" i="38"/>
  <c r="X36" i="52"/>
  <c r="X36" i="14"/>
  <c r="L36" i="16"/>
  <c r="L36" i="5"/>
  <c r="L36" i="44"/>
  <c r="X36" i="23"/>
  <c r="L36" i="31"/>
  <c r="X36" i="44"/>
  <c r="X36" i="25"/>
  <c r="L36" i="49"/>
  <c r="L36" i="11"/>
  <c r="L36" i="35"/>
  <c r="L36" i="52"/>
  <c r="X36" i="40"/>
  <c r="X36" i="49"/>
  <c r="X36" i="16"/>
  <c r="L36" i="40"/>
  <c r="L36" i="14"/>
  <c r="L36" i="111"/>
  <c r="P235" i="12"/>
  <c r="X232" i="12"/>
  <c r="Z232" i="12" s="1"/>
  <c r="R232" i="12"/>
  <c r="P228" i="15"/>
  <c r="X225" i="15"/>
  <c r="Z225" i="15" s="1"/>
  <c r="R225" i="15"/>
  <c r="X36" i="43"/>
  <c r="D78" i="48"/>
  <c r="L75" i="48"/>
  <c r="N75" i="48" s="1"/>
  <c r="F75" i="48"/>
  <c r="X36" i="38"/>
  <c r="V99" i="68"/>
  <c r="X86" i="75"/>
  <c r="Z86" i="75" s="1"/>
  <c r="P89" i="75"/>
  <c r="R86" i="75"/>
  <c r="L39" i="88"/>
  <c r="L87" i="93"/>
  <c r="X36" i="11"/>
  <c r="L36" i="37"/>
  <c r="D56" i="82"/>
  <c r="L53" i="82"/>
  <c r="N53" i="82" s="1"/>
  <c r="F53" i="82"/>
  <c r="X36" i="26"/>
  <c r="J272" i="3"/>
  <c r="P128" i="84"/>
  <c r="X125" i="84"/>
  <c r="Z125" i="84" s="1"/>
  <c r="R125" i="84"/>
  <c r="X36" i="4"/>
  <c r="N78" i="59"/>
  <c r="X36" i="13"/>
  <c r="X36" i="10"/>
  <c r="X46" i="101"/>
  <c r="Z46" i="101" s="1"/>
  <c r="Z107" i="63"/>
  <c r="X108" i="45"/>
  <c r="Z108" i="45" s="1"/>
  <c r="R108" i="45"/>
  <c r="L122" i="27"/>
  <c r="N122" i="27" s="1"/>
  <c r="D125" i="27"/>
  <c r="F122" i="27"/>
  <c r="N63" i="99"/>
  <c r="D124" i="70"/>
  <c r="L121" i="70"/>
  <c r="N121" i="70" s="1"/>
  <c r="F121" i="70"/>
  <c r="Z78" i="109"/>
  <c r="V78" i="109"/>
  <c r="X31" i="108"/>
  <c r="J89" i="75"/>
  <c r="X78" i="109"/>
  <c r="R78" i="109"/>
  <c r="L75" i="109"/>
  <c r="N75" i="109" s="1"/>
  <c r="D78" i="109"/>
  <c r="F75" i="109"/>
  <c r="J156" i="74"/>
  <c r="L108" i="45"/>
  <c r="F108" i="45"/>
  <c r="X121" i="70"/>
  <c r="Z121" i="70" s="1"/>
  <c r="P124" i="70"/>
  <c r="R121" i="70"/>
  <c r="Z39" i="88"/>
  <c r="X95" i="103"/>
  <c r="Z95" i="103" s="1"/>
  <c r="P98" i="103"/>
  <c r="R95" i="103"/>
  <c r="V124" i="70"/>
  <c r="L36" i="34"/>
  <c r="X105" i="76"/>
  <c r="Z105" i="76" s="1"/>
  <c r="P108" i="76"/>
  <c r="R105" i="76"/>
  <c r="J108" i="51"/>
  <c r="X96" i="24"/>
  <c r="Z96" i="24" s="1"/>
  <c r="P99" i="24"/>
  <c r="R96" i="24"/>
  <c r="L86" i="33"/>
  <c r="N86" i="33" s="1"/>
  <c r="D89" i="33"/>
  <c r="F86" i="33"/>
  <c r="X174" i="30"/>
  <c r="R174" i="30"/>
  <c r="Z77" i="80"/>
  <c r="L32" i="98"/>
  <c r="F32" i="98"/>
  <c r="D134" i="36"/>
  <c r="L131" i="36"/>
  <c r="N131" i="36" s="1"/>
  <c r="F131" i="36"/>
  <c r="N40" i="55"/>
  <c r="Z37" i="100"/>
  <c r="X36" i="28"/>
  <c r="V108" i="76"/>
  <c r="Z86" i="56"/>
  <c r="Z86" i="94"/>
  <c r="V228" i="15"/>
  <c r="X36" i="111"/>
  <c r="X36" i="19"/>
  <c r="X36" i="7"/>
  <c r="L81" i="57"/>
  <c r="N81" i="57" s="1"/>
  <c r="P131" i="39"/>
  <c r="X128" i="39"/>
  <c r="Z128" i="39" s="1"/>
  <c r="R128" i="39"/>
  <c r="L272" i="3"/>
  <c r="N272" i="3" s="1"/>
  <c r="F272" i="3"/>
  <c r="L99" i="68"/>
  <c r="V113" i="21"/>
  <c r="V86" i="79"/>
  <c r="L36" i="43"/>
  <c r="L36" i="23"/>
  <c r="J128" i="84"/>
  <c r="X125" i="27"/>
  <c r="R125" i="27"/>
  <c r="X36" i="17"/>
  <c r="X36" i="46"/>
  <c r="L105" i="51"/>
  <c r="N105" i="51" s="1"/>
  <c r="D108" i="51"/>
  <c r="F105" i="51"/>
  <c r="L36" i="8"/>
  <c r="X106" i="95"/>
  <c r="Z106" i="95" s="1"/>
  <c r="R106" i="95"/>
  <c r="L36" i="41"/>
  <c r="N77" i="72"/>
  <c r="J77" i="72"/>
  <c r="D85" i="92"/>
  <c r="L85" i="92" s="1"/>
  <c r="N85" i="92" s="1"/>
  <c r="L82" i="92"/>
  <c r="N82" i="92" s="1"/>
  <c r="X36" i="47"/>
  <c r="N39" i="88"/>
  <c r="N31" i="54"/>
  <c r="P108" i="51"/>
  <c r="X105" i="51"/>
  <c r="Z105" i="51" s="1"/>
  <c r="R105" i="51"/>
  <c r="P272" i="3"/>
  <c r="X267" i="3"/>
  <c r="Z267" i="3" s="1"/>
  <c r="R267" i="3"/>
  <c r="Z65" i="60"/>
  <c r="X65" i="60"/>
  <c r="X248" i="18"/>
  <c r="Z248" i="18" s="1"/>
  <c r="P251" i="18"/>
  <c r="R248" i="18"/>
  <c r="Z127" i="42"/>
  <c r="V127" i="42"/>
  <c r="X113" i="21"/>
  <c r="Z113" i="21" s="1"/>
  <c r="R113" i="21"/>
  <c r="J228" i="15"/>
  <c r="X78" i="48"/>
  <c r="Z78" i="48" s="1"/>
  <c r="R78" i="48"/>
  <c r="X86" i="94"/>
  <c r="R86" i="94"/>
  <c r="X127" i="42"/>
  <c r="R127" i="42"/>
  <c r="N67" i="61"/>
  <c r="L36" i="28"/>
  <c r="L35" i="85"/>
  <c r="N35" i="85" s="1"/>
  <c r="F35" i="85"/>
  <c r="V235" i="12"/>
  <c r="N99" i="68"/>
  <c r="J99" i="68"/>
  <c r="J89" i="33"/>
  <c r="X36" i="22"/>
  <c r="L107" i="63"/>
  <c r="N107" i="63" s="1"/>
  <c r="Z125" i="27"/>
  <c r="V125" i="27"/>
  <c r="L36" i="26"/>
  <c r="L36" i="50"/>
  <c r="X36" i="29"/>
  <c r="V103" i="105"/>
  <c r="L36" i="47"/>
  <c r="X36" i="8"/>
  <c r="J251" i="18"/>
  <c r="V156" i="74"/>
  <c r="Z73" i="69"/>
  <c r="V73" i="69"/>
  <c r="L29" i="89"/>
  <c r="L153" i="74"/>
  <c r="N153" i="74" s="1"/>
  <c r="D156" i="74"/>
  <c r="F153" i="74"/>
  <c r="X36" i="34"/>
  <c r="Z65" i="102"/>
  <c r="Z40" i="55"/>
  <c r="L235" i="12"/>
  <c r="N235" i="12" s="1"/>
  <c r="F235" i="12"/>
  <c r="X103" i="105"/>
  <c r="Z103" i="105" s="1"/>
  <c r="R103" i="105"/>
  <c r="N98" i="87"/>
  <c r="X131" i="36"/>
  <c r="Z131" i="36" s="1"/>
  <c r="P134" i="36"/>
  <c r="R131" i="36"/>
  <c r="L31" i="6"/>
  <c r="L96" i="24"/>
  <c r="N96" i="24" s="1"/>
  <c r="D99" i="24"/>
  <c r="L99" i="24" s="1"/>
  <c r="L77" i="80"/>
  <c r="N77" i="80" s="1"/>
  <c r="X53" i="82"/>
  <c r="Z53" i="82" s="1"/>
  <c r="P56" i="82"/>
  <c r="R53" i="82"/>
  <c r="D128" i="84"/>
  <c r="L125" i="84"/>
  <c r="N125" i="84" s="1"/>
  <c r="F125" i="84"/>
  <c r="N87" i="93"/>
  <c r="X32" i="98"/>
  <c r="R32" i="98"/>
  <c r="N31" i="6"/>
  <c r="J125" i="27"/>
  <c r="N113" i="21"/>
  <c r="J113" i="21"/>
  <c r="L113" i="21"/>
  <c r="J127" i="42"/>
  <c r="L128" i="39"/>
  <c r="N128" i="39" s="1"/>
  <c r="D131" i="39"/>
  <c r="F128" i="39"/>
  <c r="V272" i="3"/>
  <c r="X35" i="85"/>
  <c r="Z35" i="85" s="1"/>
  <c r="R35" i="85"/>
  <c r="L36" i="17"/>
  <c r="L127" i="42"/>
  <c r="N127" i="42" s="1"/>
  <c r="F127" i="42"/>
  <c r="L65" i="102"/>
  <c r="N65" i="102" s="1"/>
  <c r="X36" i="50"/>
  <c r="X86" i="33"/>
  <c r="Z86" i="33" s="1"/>
  <c r="P89" i="33"/>
  <c r="R86" i="33"/>
  <c r="X83" i="79"/>
  <c r="Z83" i="79" s="1"/>
  <c r="P86" i="79"/>
  <c r="R83" i="79"/>
  <c r="J103" i="105"/>
  <c r="L40" i="55"/>
  <c r="Z174" i="30"/>
  <c r="V174" i="30"/>
  <c r="P156" i="74"/>
  <c r="X153" i="74"/>
  <c r="Z153" i="74" s="1"/>
  <c r="R153" i="74"/>
  <c r="L105" i="76"/>
  <c r="N105" i="76" s="1"/>
  <c r="D108" i="76"/>
  <c r="F105" i="76"/>
  <c r="J235" i="12"/>
  <c r="D228" i="15"/>
  <c r="L225" i="15"/>
  <c r="N225" i="15" s="1"/>
  <c r="F225" i="15"/>
  <c r="L36" i="19"/>
  <c r="P99" i="68"/>
  <c r="X96" i="68"/>
  <c r="Z96" i="68" s="1"/>
  <c r="R96" i="68"/>
  <c r="Z31" i="54"/>
  <c r="X29" i="89"/>
  <c r="Z87" i="93"/>
  <c r="V56" i="82"/>
  <c r="L36" i="32"/>
  <c r="L171" i="30"/>
  <c r="N171" i="30" s="1"/>
  <c r="D174" i="30"/>
  <c r="F171" i="30"/>
  <c r="N108" i="45"/>
  <c r="J108" i="45"/>
  <c r="Z110" i="9"/>
  <c r="N99" i="24"/>
  <c r="J99" i="24"/>
  <c r="X36" i="110"/>
  <c r="N83" i="58"/>
  <c r="D103" i="105"/>
  <c r="L100" i="105"/>
  <c r="N100" i="105" s="1"/>
  <c r="F100" i="105"/>
  <c r="N37" i="100"/>
  <c r="V106" i="95"/>
  <c r="N98" i="103"/>
  <c r="J98" i="103"/>
  <c r="X31" i="104"/>
  <c r="X81" i="57"/>
  <c r="Z81" i="57" s="1"/>
  <c r="L98" i="103"/>
  <c r="D93" i="107"/>
  <c r="L93" i="107" s="1"/>
  <c r="N93" i="107" s="1"/>
  <c r="L90" i="107"/>
  <c r="N90" i="107" s="1"/>
  <c r="X107" i="9"/>
  <c r="Z107" i="9" s="1"/>
  <c r="P110" i="9"/>
  <c r="X110" i="9" s="1"/>
  <c r="D89" i="75"/>
  <c r="L86" i="75"/>
  <c r="N86" i="75" s="1"/>
  <c r="F86" i="75"/>
  <c r="J124" i="70"/>
  <c r="V251" i="18"/>
  <c r="D251" i="18"/>
  <c r="L248" i="18"/>
  <c r="N248" i="18" s="1"/>
  <c r="F248" i="18"/>
  <c r="X108" i="51" l="1"/>
  <c r="Z108" i="51" s="1"/>
  <c r="R108" i="51"/>
  <c r="X56" i="82"/>
  <c r="Z56" i="82" s="1"/>
  <c r="R56" i="82"/>
  <c r="X272" i="3"/>
  <c r="Z272" i="3" s="1"/>
  <c r="R272" i="3"/>
  <c r="X131" i="39"/>
  <c r="Z131" i="39" s="1"/>
  <c r="R131" i="39"/>
  <c r="L78" i="109"/>
  <c r="N78" i="109" s="1"/>
  <c r="F78" i="109"/>
  <c r="X98" i="103"/>
  <c r="Z98" i="103" s="1"/>
  <c r="R98" i="103"/>
  <c r="X99" i="24"/>
  <c r="Z99" i="24" s="1"/>
  <c r="R99" i="24"/>
  <c r="L78" i="48"/>
  <c r="N78" i="48" s="1"/>
  <c r="F78" i="48"/>
  <c r="L108" i="51"/>
  <c r="N108" i="51" s="1"/>
  <c r="F108" i="51"/>
  <c r="L124" i="70"/>
  <c r="N124" i="70" s="1"/>
  <c r="F124" i="70"/>
  <c r="X99" i="68"/>
  <c r="Z99" i="68" s="1"/>
  <c r="R99" i="68"/>
  <c r="L89" i="75"/>
  <c r="N89" i="75" s="1"/>
  <c r="F89" i="75"/>
  <c r="X156" i="74"/>
  <c r="Z156" i="74" s="1"/>
  <c r="R156" i="74"/>
  <c r="L131" i="39"/>
  <c r="N131" i="39" s="1"/>
  <c r="F131" i="39"/>
  <c r="L156" i="74"/>
  <c r="N156" i="74" s="1"/>
  <c r="F156" i="74"/>
  <c r="X251" i="18"/>
  <c r="Z251" i="18" s="1"/>
  <c r="R251" i="18"/>
  <c r="L134" i="36"/>
  <c r="N134" i="36" s="1"/>
  <c r="F134" i="36"/>
  <c r="L108" i="76"/>
  <c r="N108" i="76" s="1"/>
  <c r="F108" i="76"/>
  <c r="X89" i="33"/>
  <c r="Z89" i="33" s="1"/>
  <c r="R89" i="33"/>
  <c r="L174" i="30"/>
  <c r="N174" i="30" s="1"/>
  <c r="F174" i="30"/>
  <c r="X134" i="36"/>
  <c r="Z134" i="36" s="1"/>
  <c r="R134" i="36"/>
  <c r="X124" i="70"/>
  <c r="Z124" i="70" s="1"/>
  <c r="R124" i="70"/>
  <c r="L56" i="82"/>
  <c r="N56" i="82" s="1"/>
  <c r="F56" i="82"/>
  <c r="L125" i="27"/>
  <c r="N125" i="27" s="1"/>
  <c r="F125" i="27"/>
  <c r="X228" i="15"/>
  <c r="Z228" i="15" s="1"/>
  <c r="R228" i="15"/>
  <c r="L89" i="33"/>
  <c r="N89" i="33" s="1"/>
  <c r="F89" i="33"/>
  <c r="X108" i="76"/>
  <c r="Z108" i="76" s="1"/>
  <c r="R108" i="76"/>
  <c r="X128" i="84"/>
  <c r="Z128" i="84" s="1"/>
  <c r="R128" i="84"/>
  <c r="L103" i="105"/>
  <c r="N103" i="105" s="1"/>
  <c r="F103" i="105"/>
  <c r="L228" i="15"/>
  <c r="N228" i="15" s="1"/>
  <c r="F228" i="15"/>
  <c r="L128" i="84"/>
  <c r="N128" i="84" s="1"/>
  <c r="F128" i="84"/>
  <c r="X86" i="79"/>
  <c r="Z86" i="79" s="1"/>
  <c r="R86" i="79"/>
  <c r="X89" i="75"/>
  <c r="Z89" i="75" s="1"/>
  <c r="R89" i="75"/>
  <c r="L251" i="18"/>
  <c r="N251" i="18" s="1"/>
  <c r="F251" i="18"/>
  <c r="X235" i="12"/>
  <c r="Z235" i="12" s="1"/>
  <c r="R235" i="12"/>
</calcChain>
</file>

<file path=xl/sharedStrings.xml><?xml version="1.0" encoding="utf-8"?>
<sst xmlns="http://schemas.openxmlformats.org/spreadsheetml/2006/main" count="2896" uniqueCount="315">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</sst>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49" fontId="1" fillId="0" borderId="0" xfId="0" applyNumberFormat="1" applyFont="1" applyFill="1"/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2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Border="1"/>
    <xf numFmtId="0" fontId="2" fillId="0" borderId="0" xfId="0" applyFont="1" applyFill="1" applyBorder="1"/>
    <xf numFmtId="0" fontId="0" fillId="0" borderId="0" xfId="0" applyFill="1" applyAlignment="1">
      <alignment horizontal="centerContinuous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165" fontId="0" fillId="0" borderId="0" xfId="0" applyNumberForma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77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546130.33000000007</v>
      </c>
      <c r="E12" s="4"/>
      <c r="F12" s="12"/>
      <c r="G12" s="4"/>
      <c r="H12" s="4">
        <f>SUM(OSRRefH13x_0)</f>
        <v>1535686</v>
      </c>
      <c r="I12" s="4"/>
      <c r="J12" s="12"/>
      <c r="K12" s="4"/>
      <c r="L12" s="4">
        <f t="shared" ref="L12:L97" si="0">+D12-H12</f>
        <v>-989555.66999999993</v>
      </c>
      <c r="M12" s="4"/>
      <c r="N12" s="12">
        <f t="shared" ref="N12:N97" si="1">IF(H12=0,0,L12/H12)</f>
        <v>-0.64437370009233652</v>
      </c>
      <c r="O12" s="10"/>
      <c r="P12" s="4">
        <f>SUM(OSRRefP13x_0)</f>
        <v>7151385.990000003</v>
      </c>
      <c r="Q12" s="4"/>
      <c r="R12" s="12"/>
      <c r="S12" s="4"/>
      <c r="T12" s="4">
        <f>SUM(OSRRefT13x_0)</f>
        <v>12649004</v>
      </c>
      <c r="U12" s="4"/>
      <c r="V12" s="12"/>
      <c r="W12" s="4"/>
      <c r="X12" s="4">
        <f t="shared" ref="X12:X97" si="2">+P12-T12</f>
        <v>-5497618.009999997</v>
      </c>
      <c r="Y12" s="4"/>
      <c r="Z12" s="12">
        <f t="shared" ref="Z12:Z97" si="3">IF(T12=0,0,X12/T12)</f>
        <v>-0.43462852964549598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-7402.1</f>
        <v>-7402.1</v>
      </c>
      <c r="E13" s="2"/>
      <c r="F13" s="22"/>
      <c r="G13" s="2"/>
      <c r="H13" s="2">
        <v>727163</v>
      </c>
      <c r="I13" s="2"/>
      <c r="J13" s="22"/>
      <c r="K13" s="2"/>
      <c r="L13" s="2">
        <f t="shared" si="0"/>
        <v>-734565.1</v>
      </c>
      <c r="M13" s="2"/>
      <c r="N13" s="22">
        <f t="shared" si="1"/>
        <v>-1.0101794233204935</v>
      </c>
      <c r="O13" s="11"/>
      <c r="P13" s="2">
        <f>-111058.09</f>
        <v>-111058.09</v>
      </c>
      <c r="Q13" s="2"/>
      <c r="R13" s="22"/>
      <c r="S13" s="2"/>
      <c r="T13" s="2">
        <v>8838782</v>
      </c>
      <c r="U13" s="2"/>
      <c r="V13" s="22"/>
      <c r="W13" s="2"/>
      <c r="X13" s="2">
        <f t="shared" si="2"/>
        <v>-8949840.0899999999</v>
      </c>
      <c r="Y13" s="2"/>
      <c r="Z13" s="22">
        <f t="shared" si="3"/>
        <v>-1.0125648635750943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22"/>
      <c r="G14" s="2"/>
      <c r="H14" s="2"/>
      <c r="I14" s="2"/>
      <c r="J14" s="22"/>
      <c r="K14" s="2"/>
      <c r="L14" s="2">
        <f t="shared" si="0"/>
        <v>34627.67</v>
      </c>
      <c r="M14" s="2"/>
      <c r="N14" s="22">
        <f t="shared" si="1"/>
        <v>0</v>
      </c>
      <c r="O14" s="11"/>
      <c r="P14" s="2">
        <f>--1224724.01</f>
        <v>1224724.01</v>
      </c>
      <c r="Q14" s="2"/>
      <c r="R14" s="22"/>
      <c r="S14" s="2"/>
      <c r="T14" s="2"/>
      <c r="U14" s="2"/>
      <c r="V14" s="22"/>
      <c r="W14" s="2"/>
      <c r="X14" s="2">
        <f t="shared" si="2"/>
        <v>1224724.01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22"/>
      <c r="G15" s="2"/>
      <c r="H15" s="2"/>
      <c r="I15" s="2"/>
      <c r="J15" s="22"/>
      <c r="K15" s="2"/>
      <c r="L15" s="2">
        <f t="shared" si="0"/>
        <v>12732.98</v>
      </c>
      <c r="M15" s="2"/>
      <c r="N15" s="22">
        <f t="shared" si="1"/>
        <v>0</v>
      </c>
      <c r="O15" s="11"/>
      <c r="P15" s="2">
        <f>--575134.48</f>
        <v>575134.48</v>
      </c>
      <c r="Q15" s="2"/>
      <c r="R15" s="22"/>
      <c r="S15" s="2"/>
      <c r="T15" s="2"/>
      <c r="U15" s="2"/>
      <c r="V15" s="22"/>
      <c r="W15" s="2"/>
      <c r="X15" s="2">
        <f t="shared" si="2"/>
        <v>575134.48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--41.38</f>
        <v>41.38</v>
      </c>
      <c r="E21" s="2"/>
      <c r="F21" s="22"/>
      <c r="G21" s="2"/>
      <c r="H21" s="2"/>
      <c r="I21" s="2"/>
      <c r="J21" s="22"/>
      <c r="K21" s="2"/>
      <c r="L21" s="2">
        <f t="shared" si="0"/>
        <v>41.38</v>
      </c>
      <c r="M21" s="2"/>
      <c r="N21" s="22">
        <f t="shared" si="1"/>
        <v>0</v>
      </c>
      <c r="O21" s="11"/>
      <c r="P21" s="2">
        <f>--448.38</f>
        <v>448.38</v>
      </c>
      <c r="Q21" s="2"/>
      <c r="R21" s="22"/>
      <c r="S21" s="2"/>
      <c r="T21" s="2"/>
      <c r="U21" s="2"/>
      <c r="V21" s="22"/>
      <c r="W21" s="2"/>
      <c r="X21" s="2">
        <f t="shared" si="2"/>
        <v>448.38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--5808.1</f>
        <v>5808.1</v>
      </c>
      <c r="E22" s="2"/>
      <c r="F22" s="22"/>
      <c r="G22" s="2"/>
      <c r="H22" s="2"/>
      <c r="I22" s="2"/>
      <c r="J22" s="22"/>
      <c r="K22" s="2"/>
      <c r="L22" s="2">
        <f t="shared" si="0"/>
        <v>5808.1</v>
      </c>
      <c r="M22" s="2"/>
      <c r="N22" s="22">
        <f t="shared" si="1"/>
        <v>0</v>
      </c>
      <c r="O22" s="11"/>
      <c r="P22" s="2">
        <f>--54484.32</f>
        <v>54484.32</v>
      </c>
      <c r="Q22" s="2"/>
      <c r="R22" s="22"/>
      <c r="S22" s="2"/>
      <c r="T22" s="2"/>
      <c r="U22" s="2"/>
      <c r="V22" s="22"/>
      <c r="W22" s="2"/>
      <c r="X22" s="2">
        <f t="shared" si="2"/>
        <v>54484.32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--1924.8</f>
        <v>1924.8</v>
      </c>
      <c r="E23" s="2"/>
      <c r="F23" s="22"/>
      <c r="G23" s="2"/>
      <c r="H23" s="2"/>
      <c r="I23" s="2"/>
      <c r="J23" s="22"/>
      <c r="K23" s="2"/>
      <c r="L23" s="2">
        <f t="shared" si="0"/>
        <v>1924.8</v>
      </c>
      <c r="M23" s="2"/>
      <c r="N23" s="22">
        <f t="shared" si="1"/>
        <v>0</v>
      </c>
      <c r="O23" s="11"/>
      <c r="P23" s="2">
        <f>--40876.62</f>
        <v>40876.620000000003</v>
      </c>
      <c r="Q23" s="2"/>
      <c r="R23" s="22"/>
      <c r="S23" s="2"/>
      <c r="T23" s="2"/>
      <c r="U23" s="2"/>
      <c r="V23" s="22"/>
      <c r="W23" s="2"/>
      <c r="X23" s="2">
        <f t="shared" si="2"/>
        <v>40876.620000000003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--593.6</f>
        <v>593.6</v>
      </c>
      <c r="E24" s="2"/>
      <c r="F24" s="22"/>
      <c r="G24" s="2"/>
      <c r="H24" s="2"/>
      <c r="I24" s="2"/>
      <c r="J24" s="22"/>
      <c r="K24" s="2"/>
      <c r="L24" s="2">
        <f t="shared" si="0"/>
        <v>593.6</v>
      </c>
      <c r="M24" s="2"/>
      <c r="N24" s="22">
        <f t="shared" si="1"/>
        <v>0</v>
      </c>
      <c r="O24" s="11"/>
      <c r="P24" s="2">
        <f>--3180.84</f>
        <v>3180.84</v>
      </c>
      <c r="Q24" s="2"/>
      <c r="R24" s="22"/>
      <c r="S24" s="2"/>
      <c r="T24" s="2"/>
      <c r="U24" s="2"/>
      <c r="V24" s="22"/>
      <c r="W24" s="2"/>
      <c r="X24" s="2">
        <f t="shared" si="2"/>
        <v>3180.84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--73245.08</f>
        <v>73245.08</v>
      </c>
      <c r="E27" s="2"/>
      <c r="F27" s="22"/>
      <c r="G27" s="2"/>
      <c r="H27" s="2"/>
      <c r="I27" s="2"/>
      <c r="J27" s="22"/>
      <c r="K27" s="2"/>
      <c r="L27" s="2">
        <f t="shared" si="0"/>
        <v>73245.08</v>
      </c>
      <c r="M27" s="2"/>
      <c r="N27" s="22">
        <f t="shared" si="1"/>
        <v>0</v>
      </c>
      <c r="O27" s="11"/>
      <c r="P27" s="2">
        <f>--671347.98</f>
        <v>671347.98</v>
      </c>
      <c r="Q27" s="2"/>
      <c r="R27" s="22"/>
      <c r="S27" s="2"/>
      <c r="T27" s="2"/>
      <c r="U27" s="2"/>
      <c r="V27" s="22"/>
      <c r="W27" s="2"/>
      <c r="X27" s="2">
        <f t="shared" si="2"/>
        <v>671347.98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--27100.04</f>
        <v>27100.04</v>
      </c>
      <c r="E28" s="2"/>
      <c r="F28" s="22"/>
      <c r="G28" s="2"/>
      <c r="H28" s="2"/>
      <c r="I28" s="2"/>
      <c r="J28" s="22"/>
      <c r="K28" s="2"/>
      <c r="L28" s="2">
        <f t="shared" si="0"/>
        <v>27100.04</v>
      </c>
      <c r="M28" s="2"/>
      <c r="N28" s="22">
        <f t="shared" si="1"/>
        <v>0</v>
      </c>
      <c r="O28" s="11"/>
      <c r="P28" s="2">
        <f>--276199.31</f>
        <v>276199.31</v>
      </c>
      <c r="Q28" s="2"/>
      <c r="R28" s="22"/>
      <c r="S28" s="2"/>
      <c r="T28" s="2"/>
      <c r="U28" s="2"/>
      <c r="V28" s="22"/>
      <c r="W28" s="2"/>
      <c r="X28" s="2">
        <f t="shared" si="2"/>
        <v>276199.31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--4794.04</f>
        <v>4794.04</v>
      </c>
      <c r="E29" s="2"/>
      <c r="F29" s="22"/>
      <c r="G29" s="2"/>
      <c r="H29" s="2"/>
      <c r="I29" s="2"/>
      <c r="J29" s="22"/>
      <c r="K29" s="2"/>
      <c r="L29" s="2">
        <f t="shared" si="0"/>
        <v>4794.04</v>
      </c>
      <c r="M29" s="2"/>
      <c r="N29" s="22">
        <f t="shared" si="1"/>
        <v>0</v>
      </c>
      <c r="O29" s="11"/>
      <c r="P29" s="2">
        <f>--78994.92</f>
        <v>78994.92</v>
      </c>
      <c r="Q29" s="2"/>
      <c r="R29" s="22"/>
      <c r="S29" s="2"/>
      <c r="T29" s="2"/>
      <c r="U29" s="2"/>
      <c r="V29" s="22"/>
      <c r="W29" s="2"/>
      <c r="X29" s="2">
        <f t="shared" si="2"/>
        <v>78994.92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--6195.85</f>
        <v>6195.85</v>
      </c>
      <c r="E30" s="2"/>
      <c r="F30" s="22"/>
      <c r="G30" s="2"/>
      <c r="H30" s="2"/>
      <c r="I30" s="2"/>
      <c r="J30" s="22"/>
      <c r="K30" s="2"/>
      <c r="L30" s="2">
        <f t="shared" si="0"/>
        <v>6195.85</v>
      </c>
      <c r="M30" s="2"/>
      <c r="N30" s="22">
        <f t="shared" si="1"/>
        <v>0</v>
      </c>
      <c r="O30" s="11"/>
      <c r="P30" s="2">
        <f>--124150.66</f>
        <v>124150.66</v>
      </c>
      <c r="Q30" s="2"/>
      <c r="R30" s="22"/>
      <c r="S30" s="2"/>
      <c r="T30" s="2"/>
      <c r="U30" s="2"/>
      <c r="V30" s="22"/>
      <c r="W30" s="2"/>
      <c r="X30" s="2">
        <f t="shared" si="2"/>
        <v>124150.66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--2036.78</f>
        <v>2036.78</v>
      </c>
      <c r="E31" s="2"/>
      <c r="F31" s="22"/>
      <c r="G31" s="2"/>
      <c r="H31" s="2"/>
      <c r="I31" s="2"/>
      <c r="J31" s="22"/>
      <c r="K31" s="2"/>
      <c r="L31" s="2">
        <f t="shared" si="0"/>
        <v>2036.78</v>
      </c>
      <c r="M31" s="2"/>
      <c r="N31" s="22">
        <f t="shared" si="1"/>
        <v>0</v>
      </c>
      <c r="O31" s="11"/>
      <c r="P31" s="2">
        <f>--29572.4</f>
        <v>29572.400000000001</v>
      </c>
      <c r="Q31" s="2"/>
      <c r="R31" s="22"/>
      <c r="S31" s="2"/>
      <c r="T31" s="2"/>
      <c r="U31" s="2"/>
      <c r="V31" s="22"/>
      <c r="W31" s="2"/>
      <c r="X31" s="2">
        <f t="shared" si="2"/>
        <v>29572.400000000001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--10039.9</f>
        <v>10039.9</v>
      </c>
      <c r="E32" s="2"/>
      <c r="F32" s="22"/>
      <c r="G32" s="2"/>
      <c r="H32" s="2"/>
      <c r="I32" s="2"/>
      <c r="J32" s="22"/>
      <c r="K32" s="2"/>
      <c r="L32" s="2">
        <f t="shared" si="0"/>
        <v>10039.9</v>
      </c>
      <c r="M32" s="2"/>
      <c r="N32" s="22">
        <f t="shared" si="1"/>
        <v>0</v>
      </c>
      <c r="O32" s="11"/>
      <c r="P32" s="2">
        <f>--135489.57</f>
        <v>135489.57</v>
      </c>
      <c r="Q32" s="2"/>
      <c r="R32" s="22"/>
      <c r="S32" s="2"/>
      <c r="T32" s="2"/>
      <c r="U32" s="2"/>
      <c r="V32" s="22"/>
      <c r="W32" s="2"/>
      <c r="X32" s="2">
        <f t="shared" si="2"/>
        <v>135489.57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--22964.48</f>
        <v>22964.48</v>
      </c>
      <c r="Q33" s="2"/>
      <c r="R33" s="22"/>
      <c r="S33" s="2"/>
      <c r="T33" s="2"/>
      <c r="U33" s="2"/>
      <c r="V33" s="22"/>
      <c r="W33" s="2"/>
      <c r="X33" s="2">
        <f t="shared" si="2"/>
        <v>22964.48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"4052", " - ", "TAXABLE SALES-FOOD")</f>
        <v xml:space="preserve">          4052 - TAXABLE SALES-FOOD</v>
      </c>
      <c r="C34" s="11"/>
      <c r="D34" s="2">
        <f>--49980.95</f>
        <v>49980.95</v>
      </c>
      <c r="E34" s="2"/>
      <c r="F34" s="22"/>
      <c r="G34" s="2"/>
      <c r="H34" s="2"/>
      <c r="I34" s="2"/>
      <c r="J34" s="22"/>
      <c r="K34" s="2"/>
      <c r="L34" s="2">
        <f t="shared" si="0"/>
        <v>49980.95</v>
      </c>
      <c r="M34" s="2"/>
      <c r="N34" s="22">
        <f t="shared" si="1"/>
        <v>0</v>
      </c>
      <c r="O34" s="11"/>
      <c r="P34" s="2">
        <f>--280157.8</f>
        <v>280157.8</v>
      </c>
      <c r="Q34" s="2"/>
      <c r="R34" s="22"/>
      <c r="S34" s="2"/>
      <c r="T34" s="2"/>
      <c r="U34" s="2"/>
      <c r="V34" s="22"/>
      <c r="W34" s="2"/>
      <c r="X34" s="2">
        <f t="shared" si="2"/>
        <v>280157.8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"4053", " - ", "TAXABLE SALES-FOOD")</f>
        <v xml:space="preserve">          4053 - TAXABLE SALES-FOOD</v>
      </c>
      <c r="C35" s="11"/>
      <c r="D35" s="2">
        <f>--180.69</f>
        <v>180.69</v>
      </c>
      <c r="E35" s="2"/>
      <c r="F35" s="22"/>
      <c r="G35" s="2"/>
      <c r="H35" s="2"/>
      <c r="I35" s="2"/>
      <c r="J35" s="22"/>
      <c r="K35" s="2"/>
      <c r="L35" s="2">
        <f t="shared" si="0"/>
        <v>180.69</v>
      </c>
      <c r="M35" s="2"/>
      <c r="N35" s="22">
        <f t="shared" si="1"/>
        <v>0</v>
      </c>
      <c r="O35" s="11"/>
      <c r="P35" s="2">
        <f>--760.21</f>
        <v>760.21</v>
      </c>
      <c r="Q35" s="2"/>
      <c r="R35" s="22"/>
      <c r="S35" s="2"/>
      <c r="T35" s="2"/>
      <c r="U35" s="2"/>
      <c r="V35" s="22"/>
      <c r="W35" s="2"/>
      <c r="X35" s="2">
        <f t="shared" si="2"/>
        <v>760.21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22"/>
      <c r="G36" s="2"/>
      <c r="H36" s="2"/>
      <c r="I36" s="2"/>
      <c r="J36" s="22"/>
      <c r="K36" s="2"/>
      <c r="L36" s="2">
        <f t="shared" si="0"/>
        <v>0</v>
      </c>
      <c r="M36" s="2"/>
      <c r="N36" s="22">
        <f t="shared" si="1"/>
        <v>0</v>
      </c>
      <c r="O36" s="11"/>
      <c r="P36" s="2">
        <f>--974.91</f>
        <v>974.91</v>
      </c>
      <c r="Q36" s="2"/>
      <c r="R36" s="22"/>
      <c r="S36" s="2"/>
      <c r="T36" s="2"/>
      <c r="U36" s="2"/>
      <c r="V36" s="22"/>
      <c r="W36" s="2"/>
      <c r="X36" s="2">
        <f t="shared" si="2"/>
        <v>974.91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"4081", " - ", "TAXABLE SALES-ELECTRONICS")</f>
        <v xml:space="preserve">          4081 - TAXABLE SALES-ELECTRONICS</v>
      </c>
      <c r="C37" s="11"/>
      <c r="D37" s="2">
        <f>--64.79</f>
        <v>64.790000000000006</v>
      </c>
      <c r="E37" s="2"/>
      <c r="F37" s="22"/>
      <c r="G37" s="2"/>
      <c r="H37" s="2"/>
      <c r="I37" s="2"/>
      <c r="J37" s="22"/>
      <c r="K37" s="2"/>
      <c r="L37" s="2">
        <f t="shared" si="0"/>
        <v>64.790000000000006</v>
      </c>
      <c r="M37" s="2"/>
      <c r="N37" s="22">
        <f t="shared" si="1"/>
        <v>0</v>
      </c>
      <c r="O37" s="11"/>
      <c r="P37" s="2">
        <f>--59334.8</f>
        <v>59334.8</v>
      </c>
      <c r="Q37" s="2"/>
      <c r="R37" s="22"/>
      <c r="S37" s="2"/>
      <c r="T37" s="2"/>
      <c r="U37" s="2"/>
      <c r="V37" s="22"/>
      <c r="W37" s="2"/>
      <c r="X37" s="2">
        <f t="shared" si="2"/>
        <v>59334.8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--165815.3</f>
        <v>165815.29999999999</v>
      </c>
      <c r="E38" s="2"/>
      <c r="F38" s="22"/>
      <c r="G38" s="2"/>
      <c r="H38" s="2"/>
      <c r="I38" s="2"/>
      <c r="J38" s="22"/>
      <c r="K38" s="2"/>
      <c r="L38" s="2">
        <f t="shared" si="0"/>
        <v>165815.29999999999</v>
      </c>
      <c r="M38" s="2"/>
      <c r="N38" s="22">
        <f t="shared" si="1"/>
        <v>0</v>
      </c>
      <c r="O38" s="11"/>
      <c r="P38" s="2">
        <f>--1250838.47</f>
        <v>1250838.47</v>
      </c>
      <c r="Q38" s="2"/>
      <c r="R38" s="22"/>
      <c r="S38" s="2"/>
      <c r="T38" s="2"/>
      <c r="U38" s="2"/>
      <c r="V38" s="22"/>
      <c r="W38" s="2"/>
      <c r="X38" s="2">
        <f t="shared" si="2"/>
        <v>1250838.47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--3521.24</f>
        <v>3521.24</v>
      </c>
      <c r="E39" s="2"/>
      <c r="F39" s="22"/>
      <c r="G39" s="2"/>
      <c r="H39" s="2"/>
      <c r="I39" s="2"/>
      <c r="J39" s="22"/>
      <c r="K39" s="2"/>
      <c r="L39" s="2">
        <f t="shared" si="0"/>
        <v>3521.24</v>
      </c>
      <c r="M39" s="2"/>
      <c r="N39" s="22">
        <f t="shared" si="1"/>
        <v>0</v>
      </c>
      <c r="O39" s="11"/>
      <c r="P39" s="2">
        <f>--96808.82</f>
        <v>96808.82</v>
      </c>
      <c r="Q39" s="2"/>
      <c r="R39" s="22"/>
      <c r="S39" s="2"/>
      <c r="T39" s="2"/>
      <c r="U39" s="2"/>
      <c r="V39" s="22"/>
      <c r="W39" s="2"/>
      <c r="X39" s="2">
        <f t="shared" si="2"/>
        <v>96808.82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"4085", " - ", "TAXABLE SALES-SOFTWARE")</f>
        <v xml:space="preserve">          4085 - TAXABLE SALES-SOFTWARE</v>
      </c>
      <c r="C40" s="11"/>
      <c r="D40" s="2">
        <f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--2878.93</f>
        <v>2878.93</v>
      </c>
      <c r="Q40" s="2"/>
      <c r="R40" s="22"/>
      <c r="S40" s="2"/>
      <c r="T40" s="2"/>
      <c r="U40" s="2"/>
      <c r="V40" s="22"/>
      <c r="W40" s="2"/>
      <c r="X40" s="2">
        <f t="shared" si="2"/>
        <v>2878.93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--1077.33</f>
        <v>1077.33</v>
      </c>
      <c r="E41" s="2"/>
      <c r="F41" s="22"/>
      <c r="G41" s="2"/>
      <c r="H41" s="2"/>
      <c r="I41" s="2"/>
      <c r="J41" s="22"/>
      <c r="K41" s="2"/>
      <c r="L41" s="2">
        <f t="shared" si="0"/>
        <v>1077.33</v>
      </c>
      <c r="M41" s="2"/>
      <c r="N41" s="22">
        <f t="shared" si="1"/>
        <v>0</v>
      </c>
      <c r="O41" s="11"/>
      <c r="P41" s="2">
        <f>--58947.17</f>
        <v>58947.17</v>
      </c>
      <c r="Q41" s="2"/>
      <c r="R41" s="22"/>
      <c r="S41" s="2"/>
      <c r="T41" s="2"/>
      <c r="U41" s="2"/>
      <c r="V41" s="22"/>
      <c r="W41" s="2"/>
      <c r="X41" s="2">
        <f t="shared" si="2"/>
        <v>58947.17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"4095", " - ", "TAXABLE SALES-CUSTOMER SERVICE")</f>
        <v xml:space="preserve">          4095 - TAXABLE SALES-CUSTOMER SERVICE</v>
      </c>
      <c r="C42" s="11"/>
      <c r="D42" s="2">
        <f>--139.85</f>
        <v>139.85</v>
      </c>
      <c r="E42" s="2"/>
      <c r="F42" s="22"/>
      <c r="G42" s="2"/>
      <c r="H42" s="2"/>
      <c r="I42" s="2"/>
      <c r="J42" s="22"/>
      <c r="K42" s="2"/>
      <c r="L42" s="2">
        <f t="shared" si="0"/>
        <v>139.85</v>
      </c>
      <c r="M42" s="2"/>
      <c r="N42" s="22">
        <f t="shared" si="1"/>
        <v>0</v>
      </c>
      <c r="O42" s="11"/>
      <c r="P42" s="2">
        <f>--139.85</f>
        <v>139.85</v>
      </c>
      <c r="Q42" s="2"/>
      <c r="R42" s="22"/>
      <c r="S42" s="2"/>
      <c r="T42" s="2"/>
      <c r="U42" s="2"/>
      <c r="V42" s="22"/>
      <c r="W42" s="2"/>
      <c r="X42" s="2">
        <f t="shared" si="2"/>
        <v>139.85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"4100", " - ", "NON-TAXABLE SALES")</f>
        <v xml:space="preserve">          4100 - NON-TAXABLE SALES</v>
      </c>
      <c r="C43" s="11"/>
      <c r="D43" s="2">
        <f>--28215.7</f>
        <v>28215.7</v>
      </c>
      <c r="E43" s="2"/>
      <c r="F43" s="22"/>
      <c r="G43" s="2"/>
      <c r="H43" s="2">
        <v>808523</v>
      </c>
      <c r="I43" s="2"/>
      <c r="J43" s="22"/>
      <c r="K43" s="2"/>
      <c r="L43" s="2">
        <f t="shared" si="0"/>
        <v>-780307.3</v>
      </c>
      <c r="M43" s="2"/>
      <c r="N43" s="22">
        <f t="shared" si="1"/>
        <v>-0.96510216778001379</v>
      </c>
      <c r="O43" s="11"/>
      <c r="P43" s="2">
        <f>--676427.56</f>
        <v>676427.56</v>
      </c>
      <c r="Q43" s="2"/>
      <c r="R43" s="22"/>
      <c r="S43" s="2"/>
      <c r="T43" s="2">
        <v>3810221.9999999995</v>
      </c>
      <c r="U43" s="2"/>
      <c r="V43" s="22"/>
      <c r="W43" s="2"/>
      <c r="X43" s="2">
        <f t="shared" si="2"/>
        <v>-3133794.4399999995</v>
      </c>
      <c r="Y43" s="2"/>
      <c r="Z43" s="22">
        <f t="shared" si="3"/>
        <v>-0.82247030225535411</v>
      </c>
    </row>
    <row r="44" spans="1:26" s="24" customFormat="1" hidden="1" outlineLevel="1" x14ac:dyDescent="0.25">
      <c r="A44" s="51"/>
      <c r="B44" s="11" t="str">
        <f>CONCATENATE("          ", "4101", " - ", "NON-TAXABLE SALES-NEW TEXT")</f>
        <v xml:space="preserve">          4101 - NON-TAXABLE SALES-NEW TEXT</v>
      </c>
      <c r="C44" s="11"/>
      <c r="D44" s="2">
        <f>--6785.91</f>
        <v>6785.91</v>
      </c>
      <c r="E44" s="2"/>
      <c r="F44" s="22"/>
      <c r="G44" s="2"/>
      <c r="H44" s="2"/>
      <c r="I44" s="2"/>
      <c r="J44" s="22"/>
      <c r="K44" s="2"/>
      <c r="L44" s="2">
        <f t="shared" si="0"/>
        <v>6785.91</v>
      </c>
      <c r="M44" s="2"/>
      <c r="N44" s="22">
        <f t="shared" si="1"/>
        <v>0</v>
      </c>
      <c r="O44" s="11"/>
      <c r="P44" s="2">
        <f>--111011.54</f>
        <v>111011.54</v>
      </c>
      <c r="Q44" s="2"/>
      <c r="R44" s="22"/>
      <c r="S44" s="2"/>
      <c r="T44" s="2"/>
      <c r="U44" s="2"/>
      <c r="V44" s="22"/>
      <c r="W44" s="2"/>
      <c r="X44" s="2">
        <f t="shared" si="2"/>
        <v>111011.54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"4102", " - ", "NON-TAXABLE SALES-USED TEXT")</f>
        <v xml:space="preserve">          4102 - NON-TAXABLE SALES-USED TEXT</v>
      </c>
      <c r="C45" s="11"/>
      <c r="D45" s="2">
        <f>--3426.05</f>
        <v>3426.05</v>
      </c>
      <c r="E45" s="2"/>
      <c r="F45" s="22"/>
      <c r="G45" s="2"/>
      <c r="H45" s="2"/>
      <c r="I45" s="2"/>
      <c r="J45" s="22"/>
      <c r="K45" s="2"/>
      <c r="L45" s="2">
        <f t="shared" si="0"/>
        <v>3426.05</v>
      </c>
      <c r="M45" s="2"/>
      <c r="N45" s="22">
        <f t="shared" si="1"/>
        <v>0</v>
      </c>
      <c r="O45" s="11"/>
      <c r="P45" s="2">
        <f>--46387.37</f>
        <v>46387.37</v>
      </c>
      <c r="Q45" s="2"/>
      <c r="R45" s="22"/>
      <c r="S45" s="2"/>
      <c r="T45" s="2"/>
      <c r="U45" s="2"/>
      <c r="V45" s="22"/>
      <c r="W45" s="2"/>
      <c r="X45" s="2">
        <f t="shared" si="2"/>
        <v>46387.37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"4103", " - ", "NON-TAXABLE SALES-RENTAL TEXT")</f>
        <v xml:space="preserve">          4103 - NON-TAXABLE SALES-RENTAL TEXT</v>
      </c>
      <c r="C46" s="11"/>
      <c r="D46" s="2">
        <f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--1138.95</f>
        <v>1138.95</v>
      </c>
      <c r="Q46" s="2"/>
      <c r="R46" s="22"/>
      <c r="S46" s="2"/>
      <c r="T46" s="2"/>
      <c r="U46" s="2"/>
      <c r="V46" s="22"/>
      <c r="W46" s="2"/>
      <c r="X46" s="2">
        <f t="shared" si="2"/>
        <v>1138.95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"4104", " - ", "NON-TAXABLE SALES-DIGITAL TEXT")</f>
        <v xml:space="preserve">          4104 - NON-TAXABLE SALES-DIGITAL TEXT</v>
      </c>
      <c r="C47" s="11"/>
      <c r="D47" s="2">
        <f>--17705.92</f>
        <v>17705.919999999998</v>
      </c>
      <c r="E47" s="2"/>
      <c r="F47" s="22"/>
      <c r="G47" s="2"/>
      <c r="H47" s="2"/>
      <c r="I47" s="2"/>
      <c r="J47" s="22"/>
      <c r="K47" s="2"/>
      <c r="L47" s="2">
        <f t="shared" si="0"/>
        <v>17705.919999999998</v>
      </c>
      <c r="M47" s="2"/>
      <c r="N47" s="22">
        <f t="shared" si="1"/>
        <v>0</v>
      </c>
      <c r="O47" s="11"/>
      <c r="P47" s="2">
        <f>--475874.05</f>
        <v>475874.05</v>
      </c>
      <c r="Q47" s="2"/>
      <c r="R47" s="22"/>
      <c r="S47" s="2"/>
      <c r="T47" s="2"/>
      <c r="U47" s="2"/>
      <c r="V47" s="22"/>
      <c r="W47" s="2"/>
      <c r="X47" s="2">
        <f t="shared" si="2"/>
        <v>475874.05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"4113", " - ", "NON-TAXABLE SALES-TRADE BOOKS")</f>
        <v xml:space="preserve">          4113 - NON-TAXABLE SALES-TRADE BOOKS</v>
      </c>
      <c r="C48" s="11"/>
      <c r="D48" s="2">
        <f>--3150</f>
        <v>3150</v>
      </c>
      <c r="E48" s="2"/>
      <c r="F48" s="22"/>
      <c r="G48" s="2"/>
      <c r="H48" s="2"/>
      <c r="I48" s="2"/>
      <c r="J48" s="22"/>
      <c r="K48" s="2"/>
      <c r="L48" s="2">
        <f t="shared" si="0"/>
        <v>3150</v>
      </c>
      <c r="M48" s="2"/>
      <c r="N48" s="22">
        <f t="shared" si="1"/>
        <v>0</v>
      </c>
      <c r="O48" s="11"/>
      <c r="P48" s="2">
        <f>--10139.25</f>
        <v>10139.25</v>
      </c>
      <c r="Q48" s="2"/>
      <c r="R48" s="22"/>
      <c r="S48" s="2"/>
      <c r="T48" s="2"/>
      <c r="U48" s="2"/>
      <c r="V48" s="22"/>
      <c r="W48" s="2"/>
      <c r="X48" s="2">
        <f t="shared" si="2"/>
        <v>10139.25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"4118", " - ", "NON-TAXABLE SALES-STUDY GUIDES")</f>
        <v xml:space="preserve">          4118 - NON-TAXABLE SALES-STUDY GUIDES</v>
      </c>
      <c r="C49" s="11"/>
      <c r="D49" s="2">
        <f t="shared" ref="D49:D50" si="5"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--771.73</f>
        <v>771.73</v>
      </c>
      <c r="Q49" s="2"/>
      <c r="R49" s="22"/>
      <c r="S49" s="2"/>
      <c r="T49" s="2"/>
      <c r="U49" s="2"/>
      <c r="V49" s="22"/>
      <c r="W49" s="2"/>
      <c r="X49" s="2">
        <f t="shared" si="2"/>
        <v>771.73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"4126", " - ", "NON-TAXABLE SALES-WRITING INST")</f>
        <v xml:space="preserve">          4126 - NON-TAXABLE SALES-WRITING INST</v>
      </c>
      <c r="C50" s="11"/>
      <c r="D50" s="2">
        <f t="shared" si="5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--52.68</f>
        <v>52.68</v>
      </c>
      <c r="Q50" s="2"/>
      <c r="R50" s="22"/>
      <c r="S50" s="2"/>
      <c r="T50" s="2"/>
      <c r="U50" s="2"/>
      <c r="V50" s="22"/>
      <c r="W50" s="2"/>
      <c r="X50" s="2">
        <f t="shared" si="2"/>
        <v>52.68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"4127", " - ", "NON-TAXABLE SALES-SCHOOL SUPPL")</f>
        <v xml:space="preserve">          4127 - NON-TAXABLE SALES-SCHOOL SUPPL</v>
      </c>
      <c r="C51" s="11"/>
      <c r="D51" s="2">
        <f>--472.19</f>
        <v>472.19</v>
      </c>
      <c r="E51" s="2"/>
      <c r="F51" s="22"/>
      <c r="G51" s="2"/>
      <c r="H51" s="2"/>
      <c r="I51" s="2"/>
      <c r="J51" s="22"/>
      <c r="K51" s="2"/>
      <c r="L51" s="2">
        <f t="shared" si="0"/>
        <v>472.19</v>
      </c>
      <c r="M51" s="2"/>
      <c r="N51" s="22">
        <f t="shared" si="1"/>
        <v>0</v>
      </c>
      <c r="O51" s="11"/>
      <c r="P51" s="2">
        <f>--6217.36</f>
        <v>6217.36</v>
      </c>
      <c r="Q51" s="2"/>
      <c r="R51" s="22"/>
      <c r="S51" s="2"/>
      <c r="T51" s="2"/>
      <c r="U51" s="2"/>
      <c r="V51" s="22"/>
      <c r="W51" s="2"/>
      <c r="X51" s="2">
        <f t="shared" si="2"/>
        <v>6217.36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"4128", " - ", "NON-TAXABLE SALES-ART/TECH")</f>
        <v xml:space="preserve">          4128 - NON-TAXABLE SALES-ART/TECH</v>
      </c>
      <c r="C52" s="11"/>
      <c r="D52" s="2">
        <f>--9.08</f>
        <v>9.08</v>
      </c>
      <c r="E52" s="2"/>
      <c r="F52" s="22"/>
      <c r="G52" s="2"/>
      <c r="H52" s="2"/>
      <c r="I52" s="2"/>
      <c r="J52" s="22"/>
      <c r="K52" s="2"/>
      <c r="L52" s="2">
        <f t="shared" si="0"/>
        <v>9.08</v>
      </c>
      <c r="M52" s="2"/>
      <c r="N52" s="22">
        <f t="shared" si="1"/>
        <v>0</v>
      </c>
      <c r="O52" s="11"/>
      <c r="P52" s="2">
        <f>--38.58</f>
        <v>38.58</v>
      </c>
      <c r="Q52" s="2"/>
      <c r="R52" s="22"/>
      <c r="S52" s="2"/>
      <c r="T52" s="2"/>
      <c r="U52" s="2"/>
      <c r="V52" s="22"/>
      <c r="W52" s="2"/>
      <c r="X52" s="2">
        <f t="shared" si="2"/>
        <v>38.58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"4131", " - ", "NON-TAXABLE SALES-FOOD")</f>
        <v xml:space="preserve">          4131 - NON-TAXABLE SALES-FOOD</v>
      </c>
      <c r="C53" s="11"/>
      <c r="D53" s="2">
        <f>--934.88</f>
        <v>934.88</v>
      </c>
      <c r="E53" s="2"/>
      <c r="F53" s="22"/>
      <c r="G53" s="2"/>
      <c r="H53" s="2"/>
      <c r="I53" s="2"/>
      <c r="J53" s="22"/>
      <c r="K53" s="2"/>
      <c r="L53" s="2">
        <f t="shared" si="0"/>
        <v>934.88</v>
      </c>
      <c r="M53" s="2"/>
      <c r="N53" s="22">
        <f t="shared" si="1"/>
        <v>0</v>
      </c>
      <c r="O53" s="11"/>
      <c r="P53" s="2">
        <f>--9575.15</f>
        <v>9575.15</v>
      </c>
      <c r="Q53" s="2"/>
      <c r="R53" s="22"/>
      <c r="S53" s="2"/>
      <c r="T53" s="2"/>
      <c r="U53" s="2"/>
      <c r="V53" s="22"/>
      <c r="W53" s="2"/>
      <c r="X53" s="2">
        <f t="shared" si="2"/>
        <v>9575.15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"4132", " - ", "NON-TAXABLE SALES-JUICE")</f>
        <v xml:space="preserve">          4132 - NON-TAXABLE SALES-JUICE</v>
      </c>
      <c r="C54" s="11"/>
      <c r="D54" s="2">
        <f t="shared" ref="D54:D57" si="6">0</f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--2054.37</f>
        <v>2054.37</v>
      </c>
      <c r="Q54" s="2"/>
      <c r="R54" s="22"/>
      <c r="S54" s="2"/>
      <c r="T54" s="2"/>
      <c r="U54" s="2"/>
      <c r="V54" s="22"/>
      <c r="W54" s="2"/>
      <c r="X54" s="2">
        <f t="shared" si="2"/>
        <v>2054.37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"4133", " - ", "NON-TAXABLE SALES-CANDY")</f>
        <v xml:space="preserve">          4133 - NON-TAXABLE SALES-CANDY</v>
      </c>
      <c r="C55" s="11"/>
      <c r="D55" s="2">
        <f t="shared" si="6"/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--80.71</f>
        <v>80.709999999999994</v>
      </c>
      <c r="Q55" s="2"/>
      <c r="R55" s="22"/>
      <c r="S55" s="2"/>
      <c r="T55" s="2"/>
      <c r="U55" s="2"/>
      <c r="V55" s="22"/>
      <c r="W55" s="2"/>
      <c r="X55" s="2">
        <f t="shared" si="2"/>
        <v>80.709999999999994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"4134", " - ", "NON-TAXABLE SALES-SODA")</f>
        <v xml:space="preserve">          4134 - NON-TAXABLE SALES-SODA</v>
      </c>
      <c r="C56" s="11"/>
      <c r="D56" s="2">
        <f t="shared" si="6"/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--45.53</f>
        <v>45.53</v>
      </c>
      <c r="Q56" s="2"/>
      <c r="R56" s="22"/>
      <c r="S56" s="2"/>
      <c r="T56" s="2"/>
      <c r="U56" s="2"/>
      <c r="V56" s="22"/>
      <c r="W56" s="2"/>
      <c r="X56" s="2">
        <f t="shared" si="2"/>
        <v>45.53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"4137", " - ", "NON-TAXABLE SALES-WATER")</f>
        <v xml:space="preserve">          4137 - NON-TAXABLE SALES-WATER</v>
      </c>
      <c r="C57" s="11"/>
      <c r="D57" s="2">
        <f t="shared" si="6"/>
        <v>0</v>
      </c>
      <c r="E57" s="2"/>
      <c r="F57" s="22"/>
      <c r="G57" s="2"/>
      <c r="H57" s="2"/>
      <c r="I57" s="2"/>
      <c r="J57" s="22"/>
      <c r="K57" s="2"/>
      <c r="L57" s="2">
        <f t="shared" si="0"/>
        <v>0</v>
      </c>
      <c r="M57" s="2"/>
      <c r="N57" s="22">
        <f t="shared" si="1"/>
        <v>0</v>
      </c>
      <c r="O57" s="11"/>
      <c r="P57" s="2">
        <f>--68.25</f>
        <v>68.25</v>
      </c>
      <c r="Q57" s="2"/>
      <c r="R57" s="22"/>
      <c r="S57" s="2"/>
      <c r="T57" s="2"/>
      <c r="U57" s="2"/>
      <c r="V57" s="22"/>
      <c r="W57" s="2"/>
      <c r="X57" s="2">
        <f t="shared" si="2"/>
        <v>68.25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"4140", " - ", "NON-TAXABLE SALES-LOGO CLOTHIN")</f>
        <v xml:space="preserve">          4140 - NON-TAXABLE SALES-LOGO CLOTHIN</v>
      </c>
      <c r="C58" s="11"/>
      <c r="D58" s="2">
        <f>--1947.86</f>
        <v>1947.86</v>
      </c>
      <c r="E58" s="2"/>
      <c r="F58" s="22"/>
      <c r="G58" s="2"/>
      <c r="H58" s="2"/>
      <c r="I58" s="2"/>
      <c r="J58" s="22"/>
      <c r="K58" s="2"/>
      <c r="L58" s="2">
        <f t="shared" si="0"/>
        <v>1947.86</v>
      </c>
      <c r="M58" s="2"/>
      <c r="N58" s="22">
        <f t="shared" si="1"/>
        <v>0</v>
      </c>
      <c r="O58" s="11"/>
      <c r="P58" s="2">
        <f>--115125.28</f>
        <v>115125.28</v>
      </c>
      <c r="Q58" s="2"/>
      <c r="R58" s="22"/>
      <c r="S58" s="2"/>
      <c r="T58" s="2"/>
      <c r="U58" s="2"/>
      <c r="V58" s="22"/>
      <c r="W58" s="2"/>
      <c r="X58" s="2">
        <f t="shared" si="2"/>
        <v>115125.28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"4141", " - ", "NON-TAXABLE SALES-LOGO GIFTS")</f>
        <v xml:space="preserve">          4141 - NON-TAXABLE SALES-LOGO GIFTS</v>
      </c>
      <c r="C59" s="11"/>
      <c r="D59" s="2">
        <f>--671.25</f>
        <v>671.25</v>
      </c>
      <c r="E59" s="2"/>
      <c r="F59" s="22"/>
      <c r="G59" s="2"/>
      <c r="H59" s="2"/>
      <c r="I59" s="2"/>
      <c r="J59" s="22"/>
      <c r="K59" s="2"/>
      <c r="L59" s="2">
        <f t="shared" si="0"/>
        <v>671.25</v>
      </c>
      <c r="M59" s="2"/>
      <c r="N59" s="22">
        <f t="shared" si="1"/>
        <v>0</v>
      </c>
      <c r="O59" s="11"/>
      <c r="P59" s="2">
        <f>--8513.02</f>
        <v>8513.02</v>
      </c>
      <c r="Q59" s="2"/>
      <c r="R59" s="22"/>
      <c r="S59" s="2"/>
      <c r="T59" s="2"/>
      <c r="U59" s="2"/>
      <c r="V59" s="22"/>
      <c r="W59" s="2"/>
      <c r="X59" s="2">
        <f t="shared" si="2"/>
        <v>8513.02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"4142", " - ", "NON-TAXABLE SALES-EVERYDAY GIF")</f>
        <v xml:space="preserve">          4142 - NON-TAXABLE SALES-EVERYDAY GIF</v>
      </c>
      <c r="C60" s="11"/>
      <c r="D60" s="2">
        <f>--4.58</f>
        <v>4.58</v>
      </c>
      <c r="E60" s="2"/>
      <c r="F60" s="22"/>
      <c r="G60" s="2"/>
      <c r="H60" s="2"/>
      <c r="I60" s="2"/>
      <c r="J60" s="22"/>
      <c r="K60" s="2"/>
      <c r="L60" s="2">
        <f t="shared" si="0"/>
        <v>4.58</v>
      </c>
      <c r="M60" s="2"/>
      <c r="N60" s="22">
        <f t="shared" si="1"/>
        <v>0</v>
      </c>
      <c r="O60" s="11"/>
      <c r="P60" s="2">
        <f>--2264.47</f>
        <v>2264.4699999999998</v>
      </c>
      <c r="Q60" s="2"/>
      <c r="R60" s="22"/>
      <c r="S60" s="2"/>
      <c r="T60" s="2"/>
      <c r="U60" s="2"/>
      <c r="V60" s="22"/>
      <c r="W60" s="2"/>
      <c r="X60" s="2">
        <f t="shared" si="2"/>
        <v>2264.4699999999998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"4143", " - ", "NON-TAXABLE SALES-CARDS")</f>
        <v xml:space="preserve">          4143 - NON-TAXABLE SALES-CARDS</v>
      </c>
      <c r="C61" s="11"/>
      <c r="D61" s="2">
        <f>--149.92</f>
        <v>149.91999999999999</v>
      </c>
      <c r="E61" s="2"/>
      <c r="F61" s="22"/>
      <c r="G61" s="2"/>
      <c r="H61" s="2"/>
      <c r="I61" s="2"/>
      <c r="J61" s="22"/>
      <c r="K61" s="2"/>
      <c r="L61" s="2">
        <f t="shared" si="0"/>
        <v>149.91999999999999</v>
      </c>
      <c r="M61" s="2"/>
      <c r="N61" s="22">
        <f t="shared" si="1"/>
        <v>0</v>
      </c>
      <c r="O61" s="11"/>
      <c r="P61" s="2">
        <f>--2119.66</f>
        <v>2119.66</v>
      </c>
      <c r="Q61" s="2"/>
      <c r="R61" s="22"/>
      <c r="S61" s="2"/>
      <c r="T61" s="2"/>
      <c r="U61" s="2"/>
      <c r="V61" s="22"/>
      <c r="W61" s="2"/>
      <c r="X61" s="2">
        <f t="shared" si="2"/>
        <v>2119.66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"4144", " - ", "NON-TAXABLE SALES-ACCESSORIES")</f>
        <v xml:space="preserve">          4144 - NON-TAXABLE SALES-ACCESSORIES</v>
      </c>
      <c r="C62" s="11"/>
      <c r="D62" s="2">
        <f>--39.95</f>
        <v>39.950000000000003</v>
      </c>
      <c r="E62" s="2"/>
      <c r="F62" s="22"/>
      <c r="G62" s="2"/>
      <c r="H62" s="2"/>
      <c r="I62" s="2"/>
      <c r="J62" s="22"/>
      <c r="K62" s="2"/>
      <c r="L62" s="2">
        <f t="shared" si="0"/>
        <v>39.950000000000003</v>
      </c>
      <c r="M62" s="2"/>
      <c r="N62" s="22">
        <f t="shared" si="1"/>
        <v>0</v>
      </c>
      <c r="O62" s="11"/>
      <c r="P62" s="2">
        <f>--649.35</f>
        <v>649.35</v>
      </c>
      <c r="Q62" s="2"/>
      <c r="R62" s="22"/>
      <c r="S62" s="2"/>
      <c r="T62" s="2"/>
      <c r="U62" s="2"/>
      <c r="V62" s="22"/>
      <c r="W62" s="2"/>
      <c r="X62" s="2">
        <f t="shared" si="2"/>
        <v>649.35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"4145", " - ", "NON-TAXABLE SALES-SPECIAL ORDE")</f>
        <v xml:space="preserve">          4145 - NON-TAXABLE SALES-SPECIAL ORDE</v>
      </c>
      <c r="C63" s="11"/>
      <c r="D63" s="2">
        <f>0</f>
        <v>0</v>
      </c>
      <c r="E63" s="2"/>
      <c r="F63" s="22"/>
      <c r="G63" s="2"/>
      <c r="H63" s="2"/>
      <c r="I63" s="2"/>
      <c r="J63" s="22"/>
      <c r="K63" s="2"/>
      <c r="L63" s="2">
        <f t="shared" si="0"/>
        <v>0</v>
      </c>
      <c r="M63" s="2"/>
      <c r="N63" s="22">
        <f t="shared" si="1"/>
        <v>0</v>
      </c>
      <c r="O63" s="11"/>
      <c r="P63" s="2">
        <f>--53716.09</f>
        <v>53716.09</v>
      </c>
      <c r="Q63" s="2"/>
      <c r="R63" s="22"/>
      <c r="S63" s="2"/>
      <c r="T63" s="2"/>
      <c r="U63" s="2"/>
      <c r="V63" s="22"/>
      <c r="W63" s="2"/>
      <c r="X63" s="2">
        <f t="shared" si="2"/>
        <v>53716.09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"4146", " - ", "NON-TAXABLE SALES-COIN OP MACH")</f>
        <v xml:space="preserve">          4146 - NON-TAXABLE SALES-COIN OP MACH</v>
      </c>
      <c r="C64" s="11"/>
      <c r="D64" s="2">
        <f>--67.8</f>
        <v>67.8</v>
      </c>
      <c r="E64" s="2"/>
      <c r="F64" s="22"/>
      <c r="G64" s="2"/>
      <c r="H64" s="2"/>
      <c r="I64" s="2"/>
      <c r="J64" s="22"/>
      <c r="K64" s="2"/>
      <c r="L64" s="2">
        <f t="shared" si="0"/>
        <v>67.8</v>
      </c>
      <c r="M64" s="2"/>
      <c r="N64" s="22">
        <f t="shared" si="1"/>
        <v>0</v>
      </c>
      <c r="O64" s="11"/>
      <c r="P64" s="2">
        <f>--208.4</f>
        <v>208.4</v>
      </c>
      <c r="Q64" s="2"/>
      <c r="R64" s="22"/>
      <c r="S64" s="2"/>
      <c r="T64" s="2"/>
      <c r="U64" s="2"/>
      <c r="V64" s="22"/>
      <c r="W64" s="2"/>
      <c r="X64" s="2">
        <f t="shared" si="2"/>
        <v>208.4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"4147", " - ", "NON-TAXABLE SALES-MISC")</f>
        <v xml:space="preserve">          4147 - NON-TAXABLE SALES-MISC</v>
      </c>
      <c r="C65" s="11"/>
      <c r="D65" s="2">
        <f>--17</f>
        <v>17</v>
      </c>
      <c r="E65" s="2"/>
      <c r="F65" s="22"/>
      <c r="G65" s="2"/>
      <c r="H65" s="2"/>
      <c r="I65" s="2"/>
      <c r="J65" s="22"/>
      <c r="K65" s="2"/>
      <c r="L65" s="2">
        <f t="shared" si="0"/>
        <v>17</v>
      </c>
      <c r="M65" s="2"/>
      <c r="N65" s="22">
        <f t="shared" si="1"/>
        <v>0</v>
      </c>
      <c r="O65" s="11"/>
      <c r="P65" s="2">
        <f>--132.5</f>
        <v>132.5</v>
      </c>
      <c r="Q65" s="2"/>
      <c r="R65" s="22"/>
      <c r="S65" s="2"/>
      <c r="T65" s="2"/>
      <c r="U65" s="2"/>
      <c r="V65" s="22"/>
      <c r="W65" s="2"/>
      <c r="X65" s="2">
        <f t="shared" si="2"/>
        <v>132.5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"4151", " - ", "NON-TAXABLE SALES-FOOD")</f>
        <v xml:space="preserve">          4151 - NON-TAXABLE SALES-FOOD</v>
      </c>
      <c r="C66" s="11"/>
      <c r="D66" s="2">
        <f>--78596.26</f>
        <v>78596.259999999995</v>
      </c>
      <c r="E66" s="2"/>
      <c r="F66" s="22"/>
      <c r="G66" s="2"/>
      <c r="H66" s="2"/>
      <c r="I66" s="2"/>
      <c r="J66" s="22"/>
      <c r="K66" s="2"/>
      <c r="L66" s="2">
        <f t="shared" si="0"/>
        <v>78596.259999999995</v>
      </c>
      <c r="M66" s="2"/>
      <c r="N66" s="22">
        <f t="shared" si="1"/>
        <v>0</v>
      </c>
      <c r="O66" s="11"/>
      <c r="P66" s="2">
        <f>--742969.81</f>
        <v>742969.81</v>
      </c>
      <c r="Q66" s="2"/>
      <c r="R66" s="22"/>
      <c r="S66" s="2"/>
      <c r="T66" s="2"/>
      <c r="U66" s="2"/>
      <c r="V66" s="22"/>
      <c r="W66" s="2"/>
      <c r="X66" s="2">
        <f t="shared" si="2"/>
        <v>742969.81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"4153", " - ", "NON-TAXABLE SALES-FOOD")</f>
        <v xml:space="preserve">          4153 - NON-TAXABLE SALES-FOOD</v>
      </c>
      <c r="C67" s="11"/>
      <c r="D67" s="2">
        <f>--5999.41</f>
        <v>5999.41</v>
      </c>
      <c r="E67" s="2"/>
      <c r="F67" s="22"/>
      <c r="G67" s="2"/>
      <c r="H67" s="2"/>
      <c r="I67" s="2"/>
      <c r="J67" s="22"/>
      <c r="K67" s="2"/>
      <c r="L67" s="2">
        <f t="shared" si="0"/>
        <v>5999.41</v>
      </c>
      <c r="M67" s="2"/>
      <c r="N67" s="22">
        <f t="shared" si="1"/>
        <v>0</v>
      </c>
      <c r="O67" s="11"/>
      <c r="P67" s="2">
        <f>--38078.57</f>
        <v>38078.57</v>
      </c>
      <c r="Q67" s="2"/>
      <c r="R67" s="22"/>
      <c r="S67" s="2"/>
      <c r="T67" s="2"/>
      <c r="U67" s="2"/>
      <c r="V67" s="22"/>
      <c r="W67" s="2"/>
      <c r="X67" s="2">
        <f t="shared" si="2"/>
        <v>38078.57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"4181", " - ", "NON-TAXABLE SALES-ELECTRONICS")</f>
        <v xml:space="preserve">          4181 - NON-TAXABLE SALES-ELECTRONICS</v>
      </c>
      <c r="C68" s="11"/>
      <c r="D68" s="2">
        <f>--6619.94</f>
        <v>6619.94</v>
      </c>
      <c r="E68" s="2"/>
      <c r="F68" s="22"/>
      <c r="G68" s="2"/>
      <c r="H68" s="2"/>
      <c r="I68" s="2"/>
      <c r="J68" s="22"/>
      <c r="K68" s="2"/>
      <c r="L68" s="2">
        <f t="shared" si="0"/>
        <v>6619.94</v>
      </c>
      <c r="M68" s="2"/>
      <c r="N68" s="22">
        <f t="shared" si="1"/>
        <v>0</v>
      </c>
      <c r="O68" s="11"/>
      <c r="P68" s="2">
        <f>--12192.66</f>
        <v>12192.66</v>
      </c>
      <c r="Q68" s="2"/>
      <c r="R68" s="22"/>
      <c r="S68" s="2"/>
      <c r="T68" s="2"/>
      <c r="U68" s="2"/>
      <c r="V68" s="22"/>
      <c r="W68" s="2"/>
      <c r="X68" s="2">
        <f t="shared" si="2"/>
        <v>12192.66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"4182", " - ", "NON-TAXABLE SALES-COMPUTER HAR")</f>
        <v xml:space="preserve">          4182 - NON-TAXABLE SALES-COMPUTER HAR</v>
      </c>
      <c r="C69" s="11"/>
      <c r="D69" s="2">
        <f>--33247.79</f>
        <v>33247.79</v>
      </c>
      <c r="E69" s="2"/>
      <c r="F69" s="22"/>
      <c r="G69" s="2"/>
      <c r="H69" s="2"/>
      <c r="I69" s="2"/>
      <c r="J69" s="22"/>
      <c r="K69" s="2"/>
      <c r="L69" s="2">
        <f t="shared" si="0"/>
        <v>33247.79</v>
      </c>
      <c r="M69" s="2"/>
      <c r="N69" s="22">
        <f t="shared" si="1"/>
        <v>0</v>
      </c>
      <c r="O69" s="11"/>
      <c r="P69" s="2">
        <f>--219646.99</f>
        <v>219646.99</v>
      </c>
      <c r="Q69" s="2"/>
      <c r="R69" s="22"/>
      <c r="S69" s="2"/>
      <c r="T69" s="2"/>
      <c r="U69" s="2"/>
      <c r="V69" s="22"/>
      <c r="W69" s="2"/>
      <c r="X69" s="2">
        <f t="shared" si="2"/>
        <v>219646.99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"4183", " - ", "NON-TAXABLE SALES-COMPUTER EQU")</f>
        <v xml:space="preserve">          4183 - NON-TAXABLE SALES-COMPUTER EQU</v>
      </c>
      <c r="C70" s="11"/>
      <c r="D70" s="2">
        <f>--3104.68</f>
        <v>3104.68</v>
      </c>
      <c r="E70" s="2"/>
      <c r="F70" s="22"/>
      <c r="G70" s="2"/>
      <c r="H70" s="2"/>
      <c r="I70" s="2"/>
      <c r="J70" s="22"/>
      <c r="K70" s="2"/>
      <c r="L70" s="2">
        <f t="shared" si="0"/>
        <v>3104.68</v>
      </c>
      <c r="M70" s="2"/>
      <c r="N70" s="22">
        <f t="shared" si="1"/>
        <v>0</v>
      </c>
      <c r="O70" s="11"/>
      <c r="P70" s="2">
        <f>--13622.82</f>
        <v>13622.82</v>
      </c>
      <c r="Q70" s="2"/>
      <c r="R70" s="22"/>
      <c r="S70" s="2"/>
      <c r="T70" s="2"/>
      <c r="U70" s="2"/>
      <c r="V70" s="22"/>
      <c r="W70" s="2"/>
      <c r="X70" s="2">
        <f t="shared" si="2"/>
        <v>13622.82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"4185", " - ", "NON-TAXABLE SALES-SOFTWARE")</f>
        <v xml:space="preserve">          4185 - NON-TAXABLE SALES-SOFTWARE</v>
      </c>
      <c r="C71" s="11"/>
      <c r="D71" s="2">
        <f>--5296.67</f>
        <v>5296.67</v>
      </c>
      <c r="E71" s="2"/>
      <c r="F71" s="22"/>
      <c r="G71" s="2"/>
      <c r="H71" s="2"/>
      <c r="I71" s="2"/>
      <c r="J71" s="22"/>
      <c r="K71" s="2"/>
      <c r="L71" s="2">
        <f t="shared" si="0"/>
        <v>5296.67</v>
      </c>
      <c r="M71" s="2"/>
      <c r="N71" s="22">
        <f t="shared" si="1"/>
        <v>0</v>
      </c>
      <c r="O71" s="11"/>
      <c r="P71" s="2">
        <f>--35127.19</f>
        <v>35127.19</v>
      </c>
      <c r="Q71" s="2"/>
      <c r="R71" s="22"/>
      <c r="S71" s="2"/>
      <c r="T71" s="2"/>
      <c r="U71" s="2"/>
      <c r="V71" s="22"/>
      <c r="W71" s="2"/>
      <c r="X71" s="2">
        <f t="shared" si="2"/>
        <v>35127.19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"4186", " - ", "NON-TAXABLE SALES-COMPUTER SUP")</f>
        <v xml:space="preserve">          4186 - NON-TAXABLE SALES-COMPUTER SUP</v>
      </c>
      <c r="C72" s="11"/>
      <c r="D72" s="2">
        <f>--345.23</f>
        <v>345.23</v>
      </c>
      <c r="E72" s="2"/>
      <c r="F72" s="22"/>
      <c r="G72" s="2"/>
      <c r="H72" s="2"/>
      <c r="I72" s="2"/>
      <c r="J72" s="22"/>
      <c r="K72" s="2"/>
      <c r="L72" s="2">
        <f t="shared" si="0"/>
        <v>345.23</v>
      </c>
      <c r="M72" s="2"/>
      <c r="N72" s="22">
        <f t="shared" si="1"/>
        <v>0</v>
      </c>
      <c r="O72" s="11"/>
      <c r="P72" s="2">
        <f>--2830.26</f>
        <v>2830.26</v>
      </c>
      <c r="Q72" s="2"/>
      <c r="R72" s="22"/>
      <c r="S72" s="2"/>
      <c r="T72" s="2"/>
      <c r="U72" s="2"/>
      <c r="V72" s="22"/>
      <c r="W72" s="2"/>
      <c r="X72" s="2">
        <f t="shared" si="2"/>
        <v>2830.26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>-2146.49</f>
        <v>-2146.4899999999998</v>
      </c>
      <c r="E73" s="2"/>
      <c r="F73" s="22"/>
      <c r="G73" s="2"/>
      <c r="H73" s="2"/>
      <c r="I73" s="2"/>
      <c r="J73" s="22"/>
      <c r="K73" s="2"/>
      <c r="L73" s="2">
        <f t="shared" si="0"/>
        <v>-2146.4899999999998</v>
      </c>
      <c r="M73" s="2"/>
      <c r="N73" s="22">
        <f t="shared" si="1"/>
        <v>0</v>
      </c>
      <c r="O73" s="11"/>
      <c r="P73" s="2">
        <f>-50664.23</f>
        <v>-50664.23</v>
      </c>
      <c r="Q73" s="2"/>
      <c r="R73" s="22"/>
      <c r="S73" s="2"/>
      <c r="T73" s="2"/>
      <c r="U73" s="2"/>
      <c r="V73" s="22"/>
      <c r="W73" s="2"/>
      <c r="X73" s="2">
        <f t="shared" si="2"/>
        <v>-50664.23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>-1199.21</f>
        <v>-1199.21</v>
      </c>
      <c r="E74" s="2"/>
      <c r="F74" s="22"/>
      <c r="G74" s="2"/>
      <c r="H74" s="2"/>
      <c r="I74" s="2"/>
      <c r="J74" s="22"/>
      <c r="K74" s="2"/>
      <c r="L74" s="2">
        <f t="shared" si="0"/>
        <v>-1199.21</v>
      </c>
      <c r="M74" s="2"/>
      <c r="N74" s="22">
        <f t="shared" si="1"/>
        <v>0</v>
      </c>
      <c r="O74" s="11"/>
      <c r="P74" s="2">
        <f>-19735.51</f>
        <v>-19735.509999999998</v>
      </c>
      <c r="Q74" s="2"/>
      <c r="R74" s="22"/>
      <c r="S74" s="2"/>
      <c r="T74" s="2"/>
      <c r="U74" s="2"/>
      <c r="V74" s="22"/>
      <c r="W74" s="2"/>
      <c r="X74" s="2">
        <f t="shared" si="2"/>
        <v>-19735.509999999998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-132.25</f>
        <v>-132.25</v>
      </c>
      <c r="E75" s="2"/>
      <c r="F75" s="22"/>
      <c r="G75" s="2"/>
      <c r="H75" s="2"/>
      <c r="I75" s="2"/>
      <c r="J75" s="22"/>
      <c r="K75" s="2"/>
      <c r="L75" s="2">
        <f t="shared" si="0"/>
        <v>-132.25</v>
      </c>
      <c r="M75" s="2"/>
      <c r="N75" s="22">
        <f t="shared" si="1"/>
        <v>0</v>
      </c>
      <c r="O75" s="11"/>
      <c r="P75" s="2">
        <f>-1763.1</f>
        <v>-1763.1</v>
      </c>
      <c r="Q75" s="2"/>
      <c r="R75" s="22"/>
      <c r="S75" s="2"/>
      <c r="T75" s="2"/>
      <c r="U75" s="2"/>
      <c r="V75" s="22"/>
      <c r="W75" s="2"/>
      <c r="X75" s="2">
        <f t="shared" si="2"/>
        <v>-1763.1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-69.93</f>
        <v>-69.930000000000007</v>
      </c>
      <c r="E76" s="2"/>
      <c r="F76" s="22"/>
      <c r="G76" s="2"/>
      <c r="H76" s="2"/>
      <c r="I76" s="2"/>
      <c r="J76" s="22"/>
      <c r="K76" s="2"/>
      <c r="L76" s="2">
        <f t="shared" si="0"/>
        <v>-69.930000000000007</v>
      </c>
      <c r="M76" s="2"/>
      <c r="N76" s="22">
        <f t="shared" si="1"/>
        <v>0</v>
      </c>
      <c r="O76" s="11"/>
      <c r="P76" s="2">
        <f>-69.93</f>
        <v>-69.930000000000007</v>
      </c>
      <c r="Q76" s="2"/>
      <c r="R76" s="22"/>
      <c r="S76" s="2"/>
      <c r="T76" s="2"/>
      <c r="U76" s="2"/>
      <c r="V76" s="22"/>
      <c r="W76" s="2"/>
      <c r="X76" s="2">
        <f t="shared" si="2"/>
        <v>-69.930000000000007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"4226", " - ", "SALES RETURN TAXABLE-WRITING I")</f>
        <v xml:space="preserve">          4226 - SALES RETURN TAXABLE-WRITING I</v>
      </c>
      <c r="C77" s="11"/>
      <c r="D77" s="2">
        <f>0</f>
        <v>0</v>
      </c>
      <c r="E77" s="2"/>
      <c r="F77" s="22"/>
      <c r="G77" s="2"/>
      <c r="H77" s="2"/>
      <c r="I77" s="2"/>
      <c r="J77" s="22"/>
      <c r="K77" s="2"/>
      <c r="L77" s="2">
        <f t="shared" si="0"/>
        <v>0</v>
      </c>
      <c r="M77" s="2"/>
      <c r="N77" s="22">
        <f t="shared" si="1"/>
        <v>0</v>
      </c>
      <c r="O77" s="11"/>
      <c r="P77" s="2">
        <f>-34.23</f>
        <v>-34.229999999999997</v>
      </c>
      <c r="Q77" s="2"/>
      <c r="R77" s="22"/>
      <c r="S77" s="2"/>
      <c r="T77" s="2"/>
      <c r="U77" s="2"/>
      <c r="V77" s="22"/>
      <c r="W77" s="2"/>
      <c r="X77" s="2">
        <f t="shared" si="2"/>
        <v>-34.229999999999997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"4227", " - ", "SALES RETURN TAXABLE-SCHOOL SU")</f>
        <v xml:space="preserve">          4227 - SALES RETURN TAXABLE-SCHOOL SU</v>
      </c>
      <c r="C78" s="11"/>
      <c r="D78" s="2">
        <f>-19.05</f>
        <v>-19.05</v>
      </c>
      <c r="E78" s="2"/>
      <c r="F78" s="22"/>
      <c r="G78" s="2"/>
      <c r="H78" s="2"/>
      <c r="I78" s="2"/>
      <c r="J78" s="22"/>
      <c r="K78" s="2"/>
      <c r="L78" s="2">
        <f t="shared" si="0"/>
        <v>-19.05</v>
      </c>
      <c r="M78" s="2"/>
      <c r="N78" s="22">
        <f t="shared" si="1"/>
        <v>0</v>
      </c>
      <c r="O78" s="11"/>
      <c r="P78" s="2">
        <f>-781.73</f>
        <v>-781.73</v>
      </c>
      <c r="Q78" s="2"/>
      <c r="R78" s="22"/>
      <c r="S78" s="2"/>
      <c r="T78" s="2"/>
      <c r="U78" s="2"/>
      <c r="V78" s="22"/>
      <c r="W78" s="2"/>
      <c r="X78" s="2">
        <f t="shared" si="2"/>
        <v>-781.73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"4228", " - ", "SALES RETURN TAXABLE-ART/TECH")</f>
        <v xml:space="preserve">          4228 - SALES RETURN TAXABLE-ART/TECH</v>
      </c>
      <c r="C79" s="11"/>
      <c r="D79" s="2">
        <f>-10.71</f>
        <v>-10.71</v>
      </c>
      <c r="E79" s="2"/>
      <c r="F79" s="22"/>
      <c r="G79" s="2"/>
      <c r="H79" s="2"/>
      <c r="I79" s="2"/>
      <c r="J79" s="22"/>
      <c r="K79" s="2"/>
      <c r="L79" s="2">
        <f t="shared" si="0"/>
        <v>-10.71</v>
      </c>
      <c r="M79" s="2"/>
      <c r="N79" s="22">
        <f t="shared" si="1"/>
        <v>0</v>
      </c>
      <c r="O79" s="11"/>
      <c r="P79" s="2">
        <f>-12739.24</f>
        <v>-12739.24</v>
      </c>
      <c r="Q79" s="2"/>
      <c r="R79" s="22"/>
      <c r="S79" s="2"/>
      <c r="T79" s="2"/>
      <c r="U79" s="2"/>
      <c r="V79" s="22"/>
      <c r="W79" s="2"/>
      <c r="X79" s="2">
        <f t="shared" si="2"/>
        <v>-12739.24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"4240", " - ", "SALES RETURN TAXABLE-LOGO CLOT")</f>
        <v xml:space="preserve">          4240 - SALES RETURN TAXABLE-LOGO CLOT</v>
      </c>
      <c r="C80" s="11"/>
      <c r="D80" s="2">
        <f>-3542.64</f>
        <v>-3542.64</v>
      </c>
      <c r="E80" s="2"/>
      <c r="F80" s="22"/>
      <c r="G80" s="2"/>
      <c r="H80" s="2"/>
      <c r="I80" s="2"/>
      <c r="J80" s="22"/>
      <c r="K80" s="2"/>
      <c r="L80" s="2">
        <f t="shared" si="0"/>
        <v>-3542.64</v>
      </c>
      <c r="M80" s="2"/>
      <c r="N80" s="22">
        <f t="shared" si="1"/>
        <v>0</v>
      </c>
      <c r="O80" s="11"/>
      <c r="P80" s="2">
        <f>-31129.51</f>
        <v>-31129.51</v>
      </c>
      <c r="Q80" s="2"/>
      <c r="R80" s="22"/>
      <c r="S80" s="2"/>
      <c r="T80" s="2"/>
      <c r="U80" s="2"/>
      <c r="V80" s="22"/>
      <c r="W80" s="2"/>
      <c r="X80" s="2">
        <f t="shared" si="2"/>
        <v>-31129.51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"4241", " - ", "SALES RETURN TAXABLE-LOGO GIFT")</f>
        <v xml:space="preserve">          4241 - SALES RETURN TAXABLE-LOGO GIFT</v>
      </c>
      <c r="C81" s="11"/>
      <c r="D81" s="2">
        <f>-338.05</f>
        <v>-338.05</v>
      </c>
      <c r="E81" s="2"/>
      <c r="F81" s="22"/>
      <c r="G81" s="2"/>
      <c r="H81" s="2"/>
      <c r="I81" s="2"/>
      <c r="J81" s="22"/>
      <c r="K81" s="2"/>
      <c r="L81" s="2">
        <f t="shared" si="0"/>
        <v>-338.05</v>
      </c>
      <c r="M81" s="2"/>
      <c r="N81" s="22">
        <f t="shared" si="1"/>
        <v>0</v>
      </c>
      <c r="O81" s="11"/>
      <c r="P81" s="2">
        <f>-5295.52</f>
        <v>-5295.52</v>
      </c>
      <c r="Q81" s="2"/>
      <c r="R81" s="22"/>
      <c r="S81" s="2"/>
      <c r="T81" s="2"/>
      <c r="U81" s="2"/>
      <c r="V81" s="22"/>
      <c r="W81" s="2"/>
      <c r="X81" s="2">
        <f t="shared" si="2"/>
        <v>-5295.52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"4242", " - ", "SALES RETURN TAXABLE-EVERYDAY")</f>
        <v xml:space="preserve">          4242 - SALES RETURN TAXABLE-EVERYDAY</v>
      </c>
      <c r="C82" s="11"/>
      <c r="D82" s="2">
        <f>-44.96</f>
        <v>-44.96</v>
      </c>
      <c r="E82" s="2"/>
      <c r="F82" s="22"/>
      <c r="G82" s="2"/>
      <c r="H82" s="2"/>
      <c r="I82" s="2"/>
      <c r="J82" s="22"/>
      <c r="K82" s="2"/>
      <c r="L82" s="2">
        <f t="shared" si="0"/>
        <v>-44.96</v>
      </c>
      <c r="M82" s="2"/>
      <c r="N82" s="22">
        <f t="shared" si="1"/>
        <v>0</v>
      </c>
      <c r="O82" s="11"/>
      <c r="P82" s="2">
        <f>-1738.74</f>
        <v>-1738.74</v>
      </c>
      <c r="Q82" s="2"/>
      <c r="R82" s="22"/>
      <c r="S82" s="2"/>
      <c r="T82" s="2"/>
      <c r="U82" s="2"/>
      <c r="V82" s="22"/>
      <c r="W82" s="2"/>
      <c r="X82" s="2">
        <f t="shared" si="2"/>
        <v>-1738.74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"4243", " - ", "SALES RETURN TAXABLE-CARDS")</f>
        <v xml:space="preserve">          4243 - SALES RETURN TAXABLE-CARDS</v>
      </c>
      <c r="C83" s="11"/>
      <c r="D83" s="2">
        <f>-369.81</f>
        <v>-369.81</v>
      </c>
      <c r="E83" s="2"/>
      <c r="F83" s="22"/>
      <c r="G83" s="2"/>
      <c r="H83" s="2"/>
      <c r="I83" s="2"/>
      <c r="J83" s="22"/>
      <c r="K83" s="2"/>
      <c r="L83" s="2">
        <f t="shared" si="0"/>
        <v>-369.81</v>
      </c>
      <c r="M83" s="2"/>
      <c r="N83" s="22">
        <f t="shared" si="1"/>
        <v>0</v>
      </c>
      <c r="O83" s="11"/>
      <c r="P83" s="2">
        <f>-5369.6</f>
        <v>-5369.6</v>
      </c>
      <c r="Q83" s="2"/>
      <c r="R83" s="22"/>
      <c r="S83" s="2"/>
      <c r="T83" s="2"/>
      <c r="U83" s="2"/>
      <c r="V83" s="22"/>
      <c r="W83" s="2"/>
      <c r="X83" s="2">
        <f t="shared" si="2"/>
        <v>-5369.6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"4244", " - ", "SALES RETURN TAXABLE-ACCESSORI")</f>
        <v xml:space="preserve">          4244 - SALES RETURN TAXABLE-ACCESSORI</v>
      </c>
      <c r="C84" s="11"/>
      <c r="D84" s="2">
        <f>-9.99</f>
        <v>-9.99</v>
      </c>
      <c r="E84" s="2"/>
      <c r="F84" s="22"/>
      <c r="G84" s="2"/>
      <c r="H84" s="2"/>
      <c r="I84" s="2"/>
      <c r="J84" s="22"/>
      <c r="K84" s="2"/>
      <c r="L84" s="2">
        <f t="shared" si="0"/>
        <v>-9.99</v>
      </c>
      <c r="M84" s="2"/>
      <c r="N84" s="22">
        <f t="shared" si="1"/>
        <v>0</v>
      </c>
      <c r="O84" s="11"/>
      <c r="P84" s="2">
        <f>-994.84</f>
        <v>-994.84</v>
      </c>
      <c r="Q84" s="2"/>
      <c r="R84" s="22"/>
      <c r="S84" s="2"/>
      <c r="T84" s="2"/>
      <c r="U84" s="2"/>
      <c r="V84" s="22"/>
      <c r="W84" s="2"/>
      <c r="X84" s="2">
        <f t="shared" si="2"/>
        <v>-994.84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"4245", " - ", "SALES RETURN TAXABLE-SPECIAL O")</f>
        <v xml:space="preserve">          4245 - SALES RETURN TAXABLE-SPECIAL O</v>
      </c>
      <c r="C85" s="11"/>
      <c r="D85" s="2">
        <f>-7.98</f>
        <v>-7.98</v>
      </c>
      <c r="E85" s="2"/>
      <c r="F85" s="22"/>
      <c r="G85" s="2"/>
      <c r="H85" s="2"/>
      <c r="I85" s="2"/>
      <c r="J85" s="22"/>
      <c r="K85" s="2"/>
      <c r="L85" s="2">
        <f t="shared" si="0"/>
        <v>-7.98</v>
      </c>
      <c r="M85" s="2"/>
      <c r="N85" s="22">
        <f t="shared" si="1"/>
        <v>0</v>
      </c>
      <c r="O85" s="11"/>
      <c r="P85" s="2">
        <f>-11353.59</f>
        <v>-11353.59</v>
      </c>
      <c r="Q85" s="2"/>
      <c r="R85" s="22"/>
      <c r="S85" s="2"/>
      <c r="T85" s="2"/>
      <c r="U85" s="2"/>
      <c r="V85" s="22"/>
      <c r="W85" s="2"/>
      <c r="X85" s="2">
        <f t="shared" si="2"/>
        <v>-11353.59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"4281", " - ", "SALES RETURN TAXABLE-ELECTRONI")</f>
        <v xml:space="preserve">          4281 - SALES RETURN TAXABLE-ELECTRONI</v>
      </c>
      <c r="C86" s="11"/>
      <c r="D86" s="2">
        <f>0</f>
        <v>0</v>
      </c>
      <c r="E86" s="2"/>
      <c r="F86" s="22"/>
      <c r="G86" s="2"/>
      <c r="H86" s="2"/>
      <c r="I86" s="2"/>
      <c r="J86" s="22"/>
      <c r="K86" s="2"/>
      <c r="L86" s="2">
        <f t="shared" si="0"/>
        <v>0</v>
      </c>
      <c r="M86" s="2"/>
      <c r="N86" s="22">
        <f t="shared" si="1"/>
        <v>0</v>
      </c>
      <c r="O86" s="11"/>
      <c r="P86" s="2">
        <f>-14762.14</f>
        <v>-14762.14</v>
      </c>
      <c r="Q86" s="2"/>
      <c r="R86" s="22"/>
      <c r="S86" s="2"/>
      <c r="T86" s="2"/>
      <c r="U86" s="2"/>
      <c r="V86" s="22"/>
      <c r="W86" s="2"/>
      <c r="X86" s="2">
        <f t="shared" si="2"/>
        <v>-14762.14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"4282", " - ", "SALES RETURN TAXABLE-COMPUTER")</f>
        <v xml:space="preserve">          4282 - SALES RETURN TAXABLE-COMPUTER</v>
      </c>
      <c r="C87" s="11"/>
      <c r="D87" s="2">
        <f>-32711.15</f>
        <v>-32711.15</v>
      </c>
      <c r="E87" s="2"/>
      <c r="F87" s="22"/>
      <c r="G87" s="2"/>
      <c r="H87" s="2"/>
      <c r="I87" s="2"/>
      <c r="J87" s="22"/>
      <c r="K87" s="2"/>
      <c r="L87" s="2">
        <f t="shared" si="0"/>
        <v>-32711.15</v>
      </c>
      <c r="M87" s="2"/>
      <c r="N87" s="22">
        <f t="shared" si="1"/>
        <v>0</v>
      </c>
      <c r="O87" s="11"/>
      <c r="P87" s="2">
        <f>-129628.16</f>
        <v>-129628.16</v>
      </c>
      <c r="Q87" s="2"/>
      <c r="R87" s="22"/>
      <c r="S87" s="2"/>
      <c r="T87" s="2"/>
      <c r="U87" s="2"/>
      <c r="V87" s="22"/>
      <c r="W87" s="2"/>
      <c r="X87" s="2">
        <f t="shared" si="2"/>
        <v>-129628.16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"4283", " - ", "SALES RETURN TAXABLE-COMPUTER")</f>
        <v xml:space="preserve">          4283 - SALES RETURN TAXABLE-COMPUTER</v>
      </c>
      <c r="C88" s="11"/>
      <c r="D88" s="2">
        <f>-212.99</f>
        <v>-212.99</v>
      </c>
      <c r="E88" s="2"/>
      <c r="F88" s="22"/>
      <c r="G88" s="2"/>
      <c r="H88" s="2"/>
      <c r="I88" s="2"/>
      <c r="J88" s="22"/>
      <c r="K88" s="2"/>
      <c r="L88" s="2">
        <f t="shared" si="0"/>
        <v>-212.99</v>
      </c>
      <c r="M88" s="2"/>
      <c r="N88" s="22">
        <f t="shared" si="1"/>
        <v>0</v>
      </c>
      <c r="O88" s="11"/>
      <c r="P88" s="2">
        <f>-3359.28</f>
        <v>-3359.28</v>
      </c>
      <c r="Q88" s="2"/>
      <c r="R88" s="22"/>
      <c r="S88" s="2"/>
      <c r="T88" s="2"/>
      <c r="U88" s="2"/>
      <c r="V88" s="22"/>
      <c r="W88" s="2"/>
      <c r="X88" s="2">
        <f t="shared" si="2"/>
        <v>-3359.28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"4285", " - ", "SALES RETURN TAXABLE-SOFTWARE")</f>
        <v xml:space="preserve">          4285 - SALES RETURN TAXABLE-SOFTWARE</v>
      </c>
      <c r="C89" s="11"/>
      <c r="D89" s="2">
        <f>-149.99</f>
        <v>-149.99</v>
      </c>
      <c r="E89" s="2"/>
      <c r="F89" s="22"/>
      <c r="G89" s="2"/>
      <c r="H89" s="2"/>
      <c r="I89" s="2"/>
      <c r="J89" s="22"/>
      <c r="K89" s="2"/>
      <c r="L89" s="2">
        <f t="shared" si="0"/>
        <v>-149.99</v>
      </c>
      <c r="M89" s="2"/>
      <c r="N89" s="22">
        <f t="shared" si="1"/>
        <v>0</v>
      </c>
      <c r="O89" s="11"/>
      <c r="P89" s="2">
        <f>-841.97</f>
        <v>-841.97</v>
      </c>
      <c r="Q89" s="2"/>
      <c r="R89" s="22"/>
      <c r="S89" s="2"/>
      <c r="T89" s="2"/>
      <c r="U89" s="2"/>
      <c r="V89" s="22"/>
      <c r="W89" s="2"/>
      <c r="X89" s="2">
        <f t="shared" si="2"/>
        <v>-841.97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"4286", " - ", "SALES RETURN TAXABLE-COMPUTER")</f>
        <v xml:space="preserve">          4286 - SALES RETURN TAXABLE-COMPUTER</v>
      </c>
      <c r="C90" s="11"/>
      <c r="D90" s="2">
        <f>-34.97</f>
        <v>-34.97</v>
      </c>
      <c r="E90" s="2"/>
      <c r="F90" s="22"/>
      <c r="G90" s="2"/>
      <c r="H90" s="2"/>
      <c r="I90" s="2"/>
      <c r="J90" s="22"/>
      <c r="K90" s="2"/>
      <c r="L90" s="2">
        <f t="shared" si="0"/>
        <v>-34.97</v>
      </c>
      <c r="M90" s="2"/>
      <c r="N90" s="22">
        <f t="shared" si="1"/>
        <v>0</v>
      </c>
      <c r="O90" s="11"/>
      <c r="P90" s="2">
        <f>-4762.31</f>
        <v>-4762.3100000000004</v>
      </c>
      <c r="Q90" s="2"/>
      <c r="R90" s="22"/>
      <c r="S90" s="2"/>
      <c r="T90" s="2"/>
      <c r="U90" s="2"/>
      <c r="V90" s="22"/>
      <c r="W90" s="2"/>
      <c r="X90" s="2">
        <f t="shared" si="2"/>
        <v>-4762.3100000000004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"4301", " - ", "SALES RETURN NON TAXABLE-NEW T")</f>
        <v xml:space="preserve">          4301 - SALES RETURN NON TAXABLE-NEW T</v>
      </c>
      <c r="C91" s="11"/>
      <c r="D91" s="2">
        <f>-231.5</f>
        <v>-231.5</v>
      </c>
      <c r="E91" s="2"/>
      <c r="F91" s="22"/>
      <c r="G91" s="2"/>
      <c r="H91" s="2"/>
      <c r="I91" s="2"/>
      <c r="J91" s="22"/>
      <c r="K91" s="2"/>
      <c r="L91" s="2">
        <f t="shared" si="0"/>
        <v>-231.5</v>
      </c>
      <c r="M91" s="2"/>
      <c r="N91" s="22">
        <f t="shared" si="1"/>
        <v>0</v>
      </c>
      <c r="O91" s="11"/>
      <c r="P91" s="2">
        <f>-3237.29</f>
        <v>-3237.29</v>
      </c>
      <c r="Q91" s="2"/>
      <c r="R91" s="22"/>
      <c r="S91" s="2"/>
      <c r="T91" s="2"/>
      <c r="U91" s="2"/>
      <c r="V91" s="22"/>
      <c r="W91" s="2"/>
      <c r="X91" s="2">
        <f t="shared" si="2"/>
        <v>-3237.29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"4302", " - ", "SALES RETURN NON TAXABLE-TEXT")</f>
        <v xml:space="preserve">          4302 - SALES RETURN NON TAXABLE-TEXT</v>
      </c>
      <c r="C92" s="11"/>
      <c r="D92" s="2">
        <f>-70.32</f>
        <v>-70.319999999999993</v>
      </c>
      <c r="E92" s="2"/>
      <c r="F92" s="22"/>
      <c r="G92" s="2"/>
      <c r="H92" s="2"/>
      <c r="I92" s="2"/>
      <c r="J92" s="22"/>
      <c r="K92" s="2"/>
      <c r="L92" s="2">
        <f t="shared" si="0"/>
        <v>-70.319999999999993</v>
      </c>
      <c r="M92" s="2"/>
      <c r="N92" s="22">
        <f t="shared" si="1"/>
        <v>0</v>
      </c>
      <c r="O92" s="11"/>
      <c r="P92" s="2">
        <f>-2073.48</f>
        <v>-2073.48</v>
      </c>
      <c r="Q92" s="2"/>
      <c r="R92" s="22"/>
      <c r="S92" s="2"/>
      <c r="T92" s="2"/>
      <c r="U92" s="2"/>
      <c r="V92" s="22"/>
      <c r="W92" s="2"/>
      <c r="X92" s="2">
        <f t="shared" si="2"/>
        <v>-2073.48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>-2172.95</f>
        <v>-2172.9499999999998</v>
      </c>
      <c r="E93" s="2"/>
      <c r="F93" s="22"/>
      <c r="G93" s="2"/>
      <c r="H93" s="2"/>
      <c r="I93" s="2"/>
      <c r="J93" s="22"/>
      <c r="K93" s="2"/>
      <c r="L93" s="2">
        <f t="shared" si="0"/>
        <v>-2172.9499999999998</v>
      </c>
      <c r="M93" s="2"/>
      <c r="N93" s="22">
        <f t="shared" si="1"/>
        <v>0</v>
      </c>
      <c r="O93" s="11"/>
      <c r="P93" s="2">
        <f>-27268.72</f>
        <v>-27268.720000000001</v>
      </c>
      <c r="Q93" s="2"/>
      <c r="R93" s="22"/>
      <c r="S93" s="2"/>
      <c r="T93" s="2"/>
      <c r="U93" s="2"/>
      <c r="V93" s="22"/>
      <c r="W93" s="2"/>
      <c r="X93" s="2">
        <f t="shared" si="2"/>
        <v>-27268.720000000001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>-76.9</f>
        <v>-76.900000000000006</v>
      </c>
      <c r="E94" s="2"/>
      <c r="F94" s="22"/>
      <c r="G94" s="2"/>
      <c r="H94" s="2"/>
      <c r="I94" s="2"/>
      <c r="J94" s="22"/>
      <c r="K94" s="2"/>
      <c r="L94" s="2">
        <f t="shared" si="0"/>
        <v>-76.900000000000006</v>
      </c>
      <c r="M94" s="2"/>
      <c r="N94" s="22">
        <f t="shared" si="1"/>
        <v>0</v>
      </c>
      <c r="O94" s="11"/>
      <c r="P94" s="2">
        <f>-2292.84</f>
        <v>-2292.84</v>
      </c>
      <c r="Q94" s="2"/>
      <c r="R94" s="22"/>
      <c r="S94" s="2"/>
      <c r="T94" s="2"/>
      <c r="U94" s="2"/>
      <c r="V94" s="22"/>
      <c r="W94" s="2"/>
      <c r="X94" s="2">
        <f t="shared" si="2"/>
        <v>-2292.84</v>
      </c>
      <c r="Y94" s="2"/>
      <c r="Z94" s="22">
        <f t="shared" si="3"/>
        <v>0</v>
      </c>
    </row>
    <row r="95" spans="1:26" s="24" customFormat="1" hidden="1" outlineLevel="1" x14ac:dyDescent="0.25">
      <c r="A95" s="51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 t="shared" ref="D95:D97" si="7">0</f>
        <v>0</v>
      </c>
      <c r="E95" s="2"/>
      <c r="F95" s="22"/>
      <c r="G95" s="2"/>
      <c r="H95" s="2"/>
      <c r="I95" s="2"/>
      <c r="J95" s="22"/>
      <c r="K95" s="2"/>
      <c r="L95" s="2">
        <f t="shared" si="0"/>
        <v>0</v>
      </c>
      <c r="M95" s="2"/>
      <c r="N95" s="22">
        <f t="shared" si="1"/>
        <v>0</v>
      </c>
      <c r="O95" s="11"/>
      <c r="P95" s="2">
        <f>-362.64</f>
        <v>-362.64</v>
      </c>
      <c r="Q95" s="2"/>
      <c r="R95" s="22"/>
      <c r="S95" s="2"/>
      <c r="T95" s="2"/>
      <c r="U95" s="2"/>
      <c r="V95" s="22"/>
      <c r="W95" s="2"/>
      <c r="X95" s="2">
        <f t="shared" si="2"/>
        <v>-362.64</v>
      </c>
      <c r="Y95" s="2"/>
      <c r="Z95" s="22">
        <f t="shared" si="3"/>
        <v>0</v>
      </c>
    </row>
    <row r="96" spans="1:26" s="24" customFormat="1" hidden="1" outlineLevel="1" x14ac:dyDescent="0.25">
      <c r="A96" s="51"/>
      <c r="B96" s="11" t="str">
        <f>CONCATENATE("          ", "4342", " - ", "SALES RETURN NON TAXABLE-EVERY")</f>
        <v xml:space="preserve">          4342 - SALES RETURN NON TAXABLE-EVERY</v>
      </c>
      <c r="C96" s="11"/>
      <c r="D96" s="2">
        <f t="shared" si="7"/>
        <v>0</v>
      </c>
      <c r="E96" s="2"/>
      <c r="F96" s="22"/>
      <c r="G96" s="2"/>
      <c r="H96" s="2"/>
      <c r="I96" s="2"/>
      <c r="J96" s="22"/>
      <c r="K96" s="2"/>
      <c r="L96" s="2">
        <f t="shared" si="0"/>
        <v>0</v>
      </c>
      <c r="M96" s="2"/>
      <c r="N96" s="22">
        <f t="shared" si="1"/>
        <v>0</v>
      </c>
      <c r="O96" s="11"/>
      <c r="P96" s="2">
        <f>-118.7</f>
        <v>-118.7</v>
      </c>
      <c r="Q96" s="2"/>
      <c r="R96" s="22"/>
      <c r="S96" s="2"/>
      <c r="T96" s="2"/>
      <c r="U96" s="2"/>
      <c r="V96" s="22"/>
      <c r="W96" s="2"/>
      <c r="X96" s="2">
        <f t="shared" si="2"/>
        <v>-118.7</v>
      </c>
      <c r="Y96" s="2"/>
      <c r="Z96" s="22">
        <f t="shared" si="3"/>
        <v>0</v>
      </c>
    </row>
    <row r="97" spans="1:26" s="24" customFormat="1" hidden="1" outlineLevel="1" x14ac:dyDescent="0.25">
      <c r="A97" s="51"/>
      <c r="B97" s="11" t="str">
        <f>CONCATENATE("          ", "4381", " - ", "SALES RETURN NON TAXABLE-ELECT")</f>
        <v xml:space="preserve">          4381 - SALES RETURN NON TAXABLE-ELECT</v>
      </c>
      <c r="C97" s="11"/>
      <c r="D97" s="2">
        <f t="shared" si="7"/>
        <v>0</v>
      </c>
      <c r="E97" s="2"/>
      <c r="F97" s="22"/>
      <c r="G97" s="2"/>
      <c r="H97" s="2"/>
      <c r="I97" s="2"/>
      <c r="J97" s="22"/>
      <c r="K97" s="2"/>
      <c r="L97" s="2">
        <f t="shared" si="0"/>
        <v>0</v>
      </c>
      <c r="M97" s="2"/>
      <c r="N97" s="22">
        <f t="shared" si="1"/>
        <v>0</v>
      </c>
      <c r="O97" s="11"/>
      <c r="P97" s="2">
        <f>-5624.15</f>
        <v>-5624.15</v>
      </c>
      <c r="Q97" s="2"/>
      <c r="R97" s="22"/>
      <c r="S97" s="2"/>
      <c r="T97" s="2"/>
      <c r="U97" s="2"/>
      <c r="V97" s="22"/>
      <c r="W97" s="2"/>
      <c r="X97" s="2">
        <f t="shared" si="2"/>
        <v>-5624.15</v>
      </c>
      <c r="Y97" s="2"/>
      <c r="Z97" s="22">
        <f t="shared" si="3"/>
        <v>0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collapsed="1" x14ac:dyDescent="0.25">
      <c r="A99" s="10"/>
      <c r="B99" s="26" t="s">
        <v>8</v>
      </c>
      <c r="C99" s="10"/>
      <c r="D99" s="4">
        <f>SUM(OSRRefD16x_0)</f>
        <v>355341.98</v>
      </c>
      <c r="E99" s="4"/>
      <c r="F99" s="12">
        <f t="shared" ref="F99:F144" si="8">IF(D$12=0,0,D99/D$12)</f>
        <v>0.65065417626594724</v>
      </c>
      <c r="G99" s="4"/>
      <c r="H99" s="4">
        <f>SUM(OSRRefH16x_0)</f>
        <v>640537</v>
      </c>
      <c r="I99" s="4"/>
      <c r="J99" s="12">
        <f t="shared" ref="J99:J144" si="9">IF(H$12=0,0,H99/H$12)</f>
        <v>0.41710154289353424</v>
      </c>
      <c r="K99" s="4"/>
      <c r="L99" s="4">
        <f t="shared" ref="L99:L144" si="10">+D99-H99</f>
        <v>-285195.02</v>
      </c>
      <c r="M99" s="4"/>
      <c r="N99" s="12">
        <f t="shared" ref="N99:N144" si="11">IF(H99=0,0,L99/H99)</f>
        <v>-0.44524363151543161</v>
      </c>
      <c r="O99" s="10"/>
      <c r="P99" s="4">
        <f>SUM(OSRRefP16x_0)</f>
        <v>4499990.28</v>
      </c>
      <c r="Q99" s="4"/>
      <c r="R99" s="12">
        <f t="shared" ref="R99:R144" si="12">IF(P$12=0,0,P99/P$12)</f>
        <v>0.62924729364244514</v>
      </c>
      <c r="S99" s="4"/>
      <c r="T99" s="4">
        <f>SUM(OSRRefT16x_0)</f>
        <v>6682399</v>
      </c>
      <c r="U99" s="4"/>
      <c r="V99" s="12">
        <f t="shared" ref="V99:V144" si="13">IF(T$12=0,0,T99/T$12)</f>
        <v>0.5282944807354002</v>
      </c>
      <c r="W99" s="4"/>
      <c r="X99" s="4">
        <f t="shared" ref="X99:X144" si="14">+P99-T99</f>
        <v>-2182408.7199999997</v>
      </c>
      <c r="Y99" s="4"/>
      <c r="Z99" s="12">
        <f t="shared" ref="Z99:Z144" si="15">IF(T99=0,0,X99/T99)</f>
        <v>-0.32659060316512073</v>
      </c>
    </row>
    <row r="100" spans="1:26" s="24" customFormat="1" hidden="1" outlineLevel="1" x14ac:dyDescent="0.25">
      <c r="A100" s="51"/>
      <c r="B100" s="11" t="str">
        <f>CONCATENATE("          ", "5000", " - ", "PURCHASES @ COST")</f>
        <v xml:space="preserve">          5000 - PURCHASES @ COST</v>
      </c>
      <c r="C100" s="11"/>
      <c r="D100" s="2"/>
      <c r="E100" s="2"/>
      <c r="F100" s="22">
        <f t="shared" si="8"/>
        <v>0</v>
      </c>
      <c r="G100" s="2"/>
      <c r="H100" s="2">
        <v>640537</v>
      </c>
      <c r="I100" s="2"/>
      <c r="J100" s="22">
        <f t="shared" si="9"/>
        <v>0.41710154289353424</v>
      </c>
      <c r="K100" s="2"/>
      <c r="L100" s="2">
        <f t="shared" si="10"/>
        <v>-640537</v>
      </c>
      <c r="M100" s="2"/>
      <c r="N100" s="22">
        <f t="shared" si="11"/>
        <v>-1</v>
      </c>
      <c r="O100" s="11"/>
      <c r="P100" s="2"/>
      <c r="Q100" s="2"/>
      <c r="R100" s="22">
        <f t="shared" si="12"/>
        <v>0</v>
      </c>
      <c r="S100" s="2"/>
      <c r="T100" s="2">
        <v>6682399</v>
      </c>
      <c r="U100" s="2"/>
      <c r="V100" s="22">
        <f t="shared" si="13"/>
        <v>0.5282944807354002</v>
      </c>
      <c r="W100" s="2"/>
      <c r="X100" s="2">
        <f t="shared" si="14"/>
        <v>-6682399</v>
      </c>
      <c r="Y100" s="2"/>
      <c r="Z100" s="22">
        <f t="shared" si="15"/>
        <v>-1</v>
      </c>
    </row>
    <row r="101" spans="1:26" s="24" customFormat="1" hidden="1" outlineLevel="1" x14ac:dyDescent="0.25">
      <c r="A101" s="51"/>
      <c r="B101" s="11" t="str">
        <f>CONCATENATE("          ", "5001", " - ", "PURCHASES @ COST-NEW TEXT")</f>
        <v xml:space="preserve">          5001 - PURCHASES @ COST-NEW TEXT</v>
      </c>
      <c r="C101" s="11"/>
      <c r="D101" s="2">
        <v>-332593.57</v>
      </c>
      <c r="E101" s="2"/>
      <c r="F101" s="22">
        <f t="shared" si="8"/>
        <v>-0.60900036443681849</v>
      </c>
      <c r="G101" s="2"/>
      <c r="H101" s="2"/>
      <c r="I101" s="2"/>
      <c r="J101" s="22">
        <f t="shared" si="9"/>
        <v>0</v>
      </c>
      <c r="K101" s="2"/>
      <c r="L101" s="2">
        <f t="shared" si="10"/>
        <v>-332593.57</v>
      </c>
      <c r="M101" s="2"/>
      <c r="N101" s="22">
        <f t="shared" si="11"/>
        <v>0</v>
      </c>
      <c r="O101" s="11"/>
      <c r="P101" s="2">
        <v>1326415.6399999999</v>
      </c>
      <c r="Q101" s="2"/>
      <c r="R101" s="22">
        <f t="shared" si="12"/>
        <v>0.18547672323305811</v>
      </c>
      <c r="S101" s="2"/>
      <c r="T101" s="2"/>
      <c r="U101" s="2"/>
      <c r="V101" s="22">
        <f t="shared" si="13"/>
        <v>0</v>
      </c>
      <c r="W101" s="2"/>
      <c r="X101" s="2">
        <f t="shared" si="14"/>
        <v>1326415.6399999999</v>
      </c>
      <c r="Y101" s="2"/>
      <c r="Z101" s="22">
        <f t="shared" si="15"/>
        <v>0</v>
      </c>
    </row>
    <row r="102" spans="1:26" s="24" customFormat="1" hidden="1" outlineLevel="1" x14ac:dyDescent="0.25">
      <c r="A102" s="51"/>
      <c r="B102" s="11" t="str">
        <f>CONCATENATE("          ", "5002", " - ", "PURCHASES @ COST-USED TEXT")</f>
        <v xml:space="preserve">          5002 - PURCHASES @ COST-USED TEXT</v>
      </c>
      <c r="C102" s="11"/>
      <c r="D102" s="2">
        <v>121987.94000000002</v>
      </c>
      <c r="E102" s="2"/>
      <c r="F102" s="22">
        <f t="shared" si="8"/>
        <v>0.22336781771486672</v>
      </c>
      <c r="G102" s="2"/>
      <c r="H102" s="2"/>
      <c r="I102" s="2"/>
      <c r="J102" s="22">
        <f t="shared" si="9"/>
        <v>0</v>
      </c>
      <c r="K102" s="2"/>
      <c r="L102" s="2">
        <f t="shared" si="10"/>
        <v>121987.94000000002</v>
      </c>
      <c r="M102" s="2"/>
      <c r="N102" s="22">
        <f t="shared" si="11"/>
        <v>0</v>
      </c>
      <c r="O102" s="11"/>
      <c r="P102" s="2">
        <v>382324.22000000003</v>
      </c>
      <c r="Q102" s="2"/>
      <c r="R102" s="22">
        <f t="shared" si="12"/>
        <v>5.3461555638951025E-2</v>
      </c>
      <c r="S102" s="2"/>
      <c r="T102" s="2"/>
      <c r="U102" s="2"/>
      <c r="V102" s="22">
        <f t="shared" si="13"/>
        <v>0</v>
      </c>
      <c r="W102" s="2"/>
      <c r="X102" s="2">
        <f t="shared" si="14"/>
        <v>382324.22000000003</v>
      </c>
      <c r="Y102" s="2"/>
      <c r="Z102" s="22">
        <f t="shared" si="15"/>
        <v>0</v>
      </c>
    </row>
    <row r="103" spans="1:26" s="24" customFormat="1" hidden="1" outlineLevel="1" x14ac:dyDescent="0.25">
      <c r="A103" s="51"/>
      <c r="B103" s="11" t="str">
        <f>CONCATENATE("          ", "5003", " - ", "PURCHASES @ COST-RENTAL TEXT")</f>
        <v xml:space="preserve">          5003 - PURCHASES @ COST-RENTAL TEXT</v>
      </c>
      <c r="C103" s="11"/>
      <c r="D103" s="2"/>
      <c r="E103" s="2"/>
      <c r="F103" s="22">
        <f t="shared" si="8"/>
        <v>0</v>
      </c>
      <c r="G103" s="2"/>
      <c r="H103" s="2"/>
      <c r="I103" s="2"/>
      <c r="J103" s="22">
        <f t="shared" si="9"/>
        <v>0</v>
      </c>
      <c r="K103" s="2"/>
      <c r="L103" s="2">
        <f t="shared" si="10"/>
        <v>0</v>
      </c>
      <c r="M103" s="2"/>
      <c r="N103" s="22">
        <f t="shared" si="11"/>
        <v>0</v>
      </c>
      <c r="O103" s="11"/>
      <c r="P103" s="2">
        <v>32.520000000000003</v>
      </c>
      <c r="Q103" s="2"/>
      <c r="R103" s="22">
        <f t="shared" si="12"/>
        <v>4.5473702643758416E-6</v>
      </c>
      <c r="S103" s="2"/>
      <c r="T103" s="2"/>
      <c r="U103" s="2"/>
      <c r="V103" s="22">
        <f t="shared" si="13"/>
        <v>0</v>
      </c>
      <c r="W103" s="2"/>
      <c r="X103" s="2">
        <f t="shared" si="14"/>
        <v>32.520000000000003</v>
      </c>
      <c r="Y103" s="2"/>
      <c r="Z103" s="22">
        <f t="shared" si="15"/>
        <v>0</v>
      </c>
    </row>
    <row r="104" spans="1:26" s="24" customFormat="1" hidden="1" outlineLevel="1" x14ac:dyDescent="0.25">
      <c r="A104" s="51"/>
      <c r="B104" s="11" t="str">
        <f>CONCATENATE("          ", "5004", " - ", "PURCHASES @ COST-DIGITAL TEXT")</f>
        <v xml:space="preserve">          5004 - PURCHASES @ COST-DIGITAL TEXT</v>
      </c>
      <c r="C104" s="11"/>
      <c r="D104" s="2">
        <v>3282.02</v>
      </c>
      <c r="E104" s="2"/>
      <c r="F104" s="22">
        <f t="shared" si="8"/>
        <v>6.0095911538185394E-3</v>
      </c>
      <c r="G104" s="2"/>
      <c r="H104" s="2"/>
      <c r="I104" s="2"/>
      <c r="J104" s="22">
        <f t="shared" si="9"/>
        <v>0</v>
      </c>
      <c r="K104" s="2"/>
      <c r="L104" s="2">
        <f t="shared" si="10"/>
        <v>3282.02</v>
      </c>
      <c r="M104" s="2"/>
      <c r="N104" s="22">
        <f t="shared" si="11"/>
        <v>0</v>
      </c>
      <c r="O104" s="11"/>
      <c r="P104" s="2">
        <v>220008.58000000002</v>
      </c>
      <c r="Q104" s="2"/>
      <c r="R104" s="22">
        <f t="shared" si="12"/>
        <v>3.0764467238608654E-2</v>
      </c>
      <c r="S104" s="2"/>
      <c r="T104" s="2"/>
      <c r="U104" s="2"/>
      <c r="V104" s="22">
        <f t="shared" si="13"/>
        <v>0</v>
      </c>
      <c r="W104" s="2"/>
      <c r="X104" s="2">
        <f t="shared" si="14"/>
        <v>220008.58000000002</v>
      </c>
      <c r="Y104" s="2"/>
      <c r="Z104" s="22">
        <f t="shared" si="15"/>
        <v>0</v>
      </c>
    </row>
    <row r="105" spans="1:26" s="24" customFormat="1" hidden="1" outlineLevel="1" x14ac:dyDescent="0.25">
      <c r="A105" s="51"/>
      <c r="B105" s="11" t="str">
        <f>CONCATENATE("          ", "5011", " - ", "PURCHASES @ COST-NO VALUE TEXT")</f>
        <v xml:space="preserve">          5011 - PURCHASES @ COST-NO VALUE TEXT</v>
      </c>
      <c r="C105" s="11"/>
      <c r="D105" s="2"/>
      <c r="E105" s="2"/>
      <c r="F105" s="22">
        <f t="shared" si="8"/>
        <v>0</v>
      </c>
      <c r="G105" s="2"/>
      <c r="H105" s="2"/>
      <c r="I105" s="2"/>
      <c r="J105" s="22">
        <f t="shared" si="9"/>
        <v>0</v>
      </c>
      <c r="K105" s="2"/>
      <c r="L105" s="2">
        <f t="shared" si="10"/>
        <v>0</v>
      </c>
      <c r="M105" s="2"/>
      <c r="N105" s="22">
        <f t="shared" si="11"/>
        <v>0</v>
      </c>
      <c r="O105" s="11"/>
      <c r="P105" s="2">
        <v>67.17</v>
      </c>
      <c r="Q105" s="2"/>
      <c r="R105" s="22">
        <f t="shared" si="12"/>
        <v>9.3925848910862618E-6</v>
      </c>
      <c r="S105" s="2"/>
      <c r="T105" s="2"/>
      <c r="U105" s="2"/>
      <c r="V105" s="22">
        <f t="shared" si="13"/>
        <v>0</v>
      </c>
      <c r="W105" s="2"/>
      <c r="X105" s="2">
        <f t="shared" si="14"/>
        <v>67.17</v>
      </c>
      <c r="Y105" s="2"/>
      <c r="Z105" s="22">
        <f t="shared" si="15"/>
        <v>0</v>
      </c>
    </row>
    <row r="106" spans="1:26" s="24" customFormat="1" hidden="1" outlineLevel="1" x14ac:dyDescent="0.25">
      <c r="A106" s="51"/>
      <c r="B106" s="11" t="str">
        <f>CONCATENATE("          ", "5013", " - ", "PURCHASES @ COST-TRADE BOOKS")</f>
        <v xml:space="preserve">          5013 - PURCHASES @ COST-TRADE BOOKS</v>
      </c>
      <c r="C106" s="11"/>
      <c r="D106" s="2">
        <v>305.11</v>
      </c>
      <c r="E106" s="2"/>
      <c r="F106" s="22">
        <f t="shared" si="8"/>
        <v>5.5867616801286233E-4</v>
      </c>
      <c r="G106" s="2"/>
      <c r="H106" s="2"/>
      <c r="I106" s="2"/>
      <c r="J106" s="22">
        <f t="shared" si="9"/>
        <v>0</v>
      </c>
      <c r="K106" s="2"/>
      <c r="L106" s="2">
        <f t="shared" si="10"/>
        <v>305.11</v>
      </c>
      <c r="M106" s="2"/>
      <c r="N106" s="22">
        <f t="shared" si="11"/>
        <v>0</v>
      </c>
      <c r="O106" s="11"/>
      <c r="P106" s="2">
        <v>5962.09</v>
      </c>
      <c r="Q106" s="2"/>
      <c r="R106" s="22">
        <f t="shared" si="12"/>
        <v>8.336971334419606E-4</v>
      </c>
      <c r="S106" s="2"/>
      <c r="T106" s="2"/>
      <c r="U106" s="2"/>
      <c r="V106" s="22">
        <f t="shared" si="13"/>
        <v>0</v>
      </c>
      <c r="W106" s="2"/>
      <c r="X106" s="2">
        <f t="shared" si="14"/>
        <v>5962.09</v>
      </c>
      <c r="Y106" s="2"/>
      <c r="Z106" s="22">
        <f t="shared" si="15"/>
        <v>0</v>
      </c>
    </row>
    <row r="107" spans="1:26" s="24" customFormat="1" hidden="1" outlineLevel="1" x14ac:dyDescent="0.25">
      <c r="A107" s="51"/>
      <c r="B107" s="11" t="str">
        <f>CONCATENATE("          ", "5014", " - ", "PURCHASES @ COST-REMAINDERS")</f>
        <v xml:space="preserve">          5014 - PURCHASES @ COST-REMAINDERS</v>
      </c>
      <c r="C107" s="11"/>
      <c r="D107" s="2">
        <v>21.16</v>
      </c>
      <c r="E107" s="2"/>
      <c r="F107" s="22">
        <f t="shared" si="8"/>
        <v>3.8745330258438492E-5</v>
      </c>
      <c r="G107" s="2"/>
      <c r="H107" s="2"/>
      <c r="I107" s="2"/>
      <c r="J107" s="22">
        <f t="shared" si="9"/>
        <v>0</v>
      </c>
      <c r="K107" s="2"/>
      <c r="L107" s="2">
        <f t="shared" si="10"/>
        <v>21.16</v>
      </c>
      <c r="M107" s="2"/>
      <c r="N107" s="22">
        <f t="shared" si="11"/>
        <v>0</v>
      </c>
      <c r="O107" s="11"/>
      <c r="P107" s="2">
        <v>111.57</v>
      </c>
      <c r="Q107" s="2"/>
      <c r="R107" s="22">
        <f t="shared" si="12"/>
        <v>1.5601171598905677E-5</v>
      </c>
      <c r="S107" s="2"/>
      <c r="T107" s="2"/>
      <c r="U107" s="2"/>
      <c r="V107" s="22">
        <f t="shared" si="13"/>
        <v>0</v>
      </c>
      <c r="W107" s="2"/>
      <c r="X107" s="2">
        <f t="shared" si="14"/>
        <v>111.57</v>
      </c>
      <c r="Y107" s="2"/>
      <c r="Z107" s="22">
        <f t="shared" si="15"/>
        <v>0</v>
      </c>
    </row>
    <row r="108" spans="1:26" s="24" customFormat="1" hidden="1" outlineLevel="1" x14ac:dyDescent="0.25">
      <c r="A108" s="51"/>
      <c r="B108" s="11" t="str">
        <f>CONCATENATE("          ", "5018", " - ", "PURCHASES @ COST-STUDY GUIDES")</f>
        <v xml:space="preserve">          5018 - PURCHASES @ COST-STUDY GUIDES</v>
      </c>
      <c r="C108" s="11"/>
      <c r="D108" s="2"/>
      <c r="E108" s="2"/>
      <c r="F108" s="22">
        <f t="shared" si="8"/>
        <v>0</v>
      </c>
      <c r="G108" s="2"/>
      <c r="H108" s="2"/>
      <c r="I108" s="2"/>
      <c r="J108" s="22">
        <f t="shared" si="9"/>
        <v>0</v>
      </c>
      <c r="K108" s="2"/>
      <c r="L108" s="2">
        <f t="shared" si="10"/>
        <v>0</v>
      </c>
      <c r="M108" s="2"/>
      <c r="N108" s="22">
        <f t="shared" si="11"/>
        <v>0</v>
      </c>
      <c r="O108" s="11"/>
      <c r="P108" s="2">
        <v>522.34</v>
      </c>
      <c r="Q108" s="2"/>
      <c r="R108" s="22">
        <f t="shared" si="12"/>
        <v>7.3040386958612456E-5</v>
      </c>
      <c r="S108" s="2"/>
      <c r="T108" s="2"/>
      <c r="U108" s="2"/>
      <c r="V108" s="22">
        <f t="shared" si="13"/>
        <v>0</v>
      </c>
      <c r="W108" s="2"/>
      <c r="X108" s="2">
        <f t="shared" si="14"/>
        <v>522.34</v>
      </c>
      <c r="Y108" s="2"/>
      <c r="Z108" s="22">
        <f t="shared" si="15"/>
        <v>0</v>
      </c>
    </row>
    <row r="109" spans="1:26" s="24" customFormat="1" hidden="1" outlineLevel="1" x14ac:dyDescent="0.25">
      <c r="A109" s="51"/>
      <c r="B109" s="11" t="str">
        <f>CONCATENATE("          ", "5025", " - ", "PURCHASES @ COST-TEST FORMS")</f>
        <v xml:space="preserve">          5025 - PURCHASES @ COST-TEST FORMS</v>
      </c>
      <c r="C109" s="11"/>
      <c r="D109" s="2"/>
      <c r="E109" s="2"/>
      <c r="F109" s="22">
        <f t="shared" si="8"/>
        <v>0</v>
      </c>
      <c r="G109" s="2"/>
      <c r="H109" s="2"/>
      <c r="I109" s="2"/>
      <c r="J109" s="22">
        <f t="shared" si="9"/>
        <v>0</v>
      </c>
      <c r="K109" s="2"/>
      <c r="L109" s="2">
        <f t="shared" si="10"/>
        <v>0</v>
      </c>
      <c r="M109" s="2"/>
      <c r="N109" s="22">
        <f t="shared" si="11"/>
        <v>0</v>
      </c>
      <c r="O109" s="11"/>
      <c r="P109" s="2">
        <v>599.29</v>
      </c>
      <c r="Q109" s="2"/>
      <c r="R109" s="22">
        <f t="shared" si="12"/>
        <v>8.3800538921826494E-5</v>
      </c>
      <c r="S109" s="2"/>
      <c r="T109" s="2"/>
      <c r="U109" s="2"/>
      <c r="V109" s="22">
        <f t="shared" si="13"/>
        <v>0</v>
      </c>
      <c r="W109" s="2"/>
      <c r="X109" s="2">
        <f t="shared" si="14"/>
        <v>599.29</v>
      </c>
      <c r="Y109" s="2"/>
      <c r="Z109" s="22">
        <f t="shared" si="15"/>
        <v>0</v>
      </c>
    </row>
    <row r="110" spans="1:26" s="24" customFormat="1" hidden="1" outlineLevel="1" x14ac:dyDescent="0.25">
      <c r="A110" s="51"/>
      <c r="B110" s="11" t="str">
        <f>CONCATENATE("          ", "5026", " - ", "PURCHASES @ COST-WRITING INSTR")</f>
        <v xml:space="preserve">          5026 - PURCHASES @ COST-WRITING INSTR</v>
      </c>
      <c r="C110" s="11"/>
      <c r="D110" s="2"/>
      <c r="E110" s="2"/>
      <c r="F110" s="22">
        <f t="shared" si="8"/>
        <v>0</v>
      </c>
      <c r="G110" s="2"/>
      <c r="H110" s="2"/>
      <c r="I110" s="2"/>
      <c r="J110" s="22">
        <f t="shared" si="9"/>
        <v>0</v>
      </c>
      <c r="K110" s="2"/>
      <c r="L110" s="2">
        <f t="shared" si="10"/>
        <v>0</v>
      </c>
      <c r="M110" s="2"/>
      <c r="N110" s="22">
        <f t="shared" si="11"/>
        <v>0</v>
      </c>
      <c r="O110" s="11"/>
      <c r="P110" s="2">
        <v>374.91</v>
      </c>
      <c r="Q110" s="2"/>
      <c r="R110" s="22">
        <f t="shared" si="12"/>
        <v>5.2424802761904881E-5</v>
      </c>
      <c r="S110" s="2"/>
      <c r="T110" s="2"/>
      <c r="U110" s="2"/>
      <c r="V110" s="22">
        <f t="shared" si="13"/>
        <v>0</v>
      </c>
      <c r="W110" s="2"/>
      <c r="X110" s="2">
        <f t="shared" si="14"/>
        <v>374.91</v>
      </c>
      <c r="Y110" s="2"/>
      <c r="Z110" s="22">
        <f t="shared" si="15"/>
        <v>0</v>
      </c>
    </row>
    <row r="111" spans="1:26" s="24" customFormat="1" hidden="1" outlineLevel="1" x14ac:dyDescent="0.25">
      <c r="A111" s="51"/>
      <c r="B111" s="11" t="str">
        <f>CONCATENATE("          ", "5027", " - ", "PURCHASES @ COST-SCHOOL SUPPLI")</f>
        <v xml:space="preserve">          5027 - PURCHASES @ COST-SCHOOL SUPPLI</v>
      </c>
      <c r="C111" s="11"/>
      <c r="D111" s="2"/>
      <c r="E111" s="2"/>
      <c r="F111" s="22">
        <f t="shared" si="8"/>
        <v>0</v>
      </c>
      <c r="G111" s="2"/>
      <c r="H111" s="2"/>
      <c r="I111" s="2"/>
      <c r="J111" s="22">
        <f t="shared" si="9"/>
        <v>0</v>
      </c>
      <c r="K111" s="2"/>
      <c r="L111" s="2">
        <f t="shared" si="10"/>
        <v>0</v>
      </c>
      <c r="M111" s="2"/>
      <c r="N111" s="22">
        <f t="shared" si="11"/>
        <v>0</v>
      </c>
      <c r="O111" s="11"/>
      <c r="P111" s="2">
        <v>19071.350000000002</v>
      </c>
      <c r="Q111" s="2"/>
      <c r="R111" s="22">
        <f t="shared" si="12"/>
        <v>2.6668047322110765E-3</v>
      </c>
      <c r="S111" s="2"/>
      <c r="T111" s="2"/>
      <c r="U111" s="2"/>
      <c r="V111" s="22">
        <f t="shared" si="13"/>
        <v>0</v>
      </c>
      <c r="W111" s="2"/>
      <c r="X111" s="2">
        <f t="shared" si="14"/>
        <v>19071.350000000002</v>
      </c>
      <c r="Y111" s="2"/>
      <c r="Z111" s="22">
        <f t="shared" si="15"/>
        <v>0</v>
      </c>
    </row>
    <row r="112" spans="1:26" s="24" customFormat="1" hidden="1" outlineLevel="1" x14ac:dyDescent="0.25">
      <c r="A112" s="51"/>
      <c r="B112" s="11" t="str">
        <f>CONCATENATE("          ", "5028", " - ", "PURCHASES @ COST-ART/TECH")</f>
        <v xml:space="preserve">          5028 - PURCHASES @ COST-ART/TECH</v>
      </c>
      <c r="C112" s="11"/>
      <c r="D112" s="2">
        <v>833.13</v>
      </c>
      <c r="E112" s="2"/>
      <c r="F112" s="22">
        <f t="shared" si="8"/>
        <v>1.5255149810119498E-3</v>
      </c>
      <c r="G112" s="2"/>
      <c r="H112" s="2"/>
      <c r="I112" s="2"/>
      <c r="J112" s="22">
        <f t="shared" si="9"/>
        <v>0</v>
      </c>
      <c r="K112" s="2"/>
      <c r="L112" s="2">
        <f t="shared" si="10"/>
        <v>833.13</v>
      </c>
      <c r="M112" s="2"/>
      <c r="N112" s="22">
        <f t="shared" si="11"/>
        <v>0</v>
      </c>
      <c r="O112" s="11"/>
      <c r="P112" s="2">
        <v>42191.58</v>
      </c>
      <c r="Q112" s="2"/>
      <c r="R112" s="22">
        <f t="shared" si="12"/>
        <v>5.8997766389616993E-3</v>
      </c>
      <c r="S112" s="2"/>
      <c r="T112" s="2"/>
      <c r="U112" s="2"/>
      <c r="V112" s="22">
        <f t="shared" si="13"/>
        <v>0</v>
      </c>
      <c r="W112" s="2"/>
      <c r="X112" s="2">
        <f t="shared" si="14"/>
        <v>42191.58</v>
      </c>
      <c r="Y112" s="2"/>
      <c r="Z112" s="22">
        <f t="shared" si="15"/>
        <v>0</v>
      </c>
    </row>
    <row r="113" spans="1:26" s="24" customFormat="1" hidden="1" outlineLevel="1" x14ac:dyDescent="0.25">
      <c r="A113" s="51"/>
      <c r="B113" s="11" t="str">
        <f>CONCATENATE("          ", "5031", " - ", "PURCHASES @ COST-FOOD")</f>
        <v xml:space="preserve">          5031 - PURCHASES @ COST-FOOD</v>
      </c>
      <c r="C113" s="11"/>
      <c r="D113" s="2">
        <v>271.45999999999998</v>
      </c>
      <c r="E113" s="2"/>
      <c r="F113" s="22">
        <f t="shared" si="8"/>
        <v>4.9706083893930584E-4</v>
      </c>
      <c r="G113" s="2"/>
      <c r="H113" s="2"/>
      <c r="I113" s="2"/>
      <c r="J113" s="22">
        <f t="shared" si="9"/>
        <v>0</v>
      </c>
      <c r="K113" s="2"/>
      <c r="L113" s="2">
        <f t="shared" si="10"/>
        <v>271.45999999999998</v>
      </c>
      <c r="M113" s="2"/>
      <c r="N113" s="22">
        <f t="shared" si="11"/>
        <v>0</v>
      </c>
      <c r="O113" s="11"/>
      <c r="P113" s="2">
        <v>7785.72</v>
      </c>
      <c r="Q113" s="2"/>
      <c r="R113" s="22">
        <f t="shared" si="12"/>
        <v>1.088700849162247E-3</v>
      </c>
      <c r="S113" s="2"/>
      <c r="T113" s="2"/>
      <c r="U113" s="2"/>
      <c r="V113" s="22">
        <f t="shared" si="13"/>
        <v>0</v>
      </c>
      <c r="W113" s="2"/>
      <c r="X113" s="2">
        <f t="shared" si="14"/>
        <v>7785.72</v>
      </c>
      <c r="Y113" s="2"/>
      <c r="Z113" s="22">
        <f t="shared" si="15"/>
        <v>0</v>
      </c>
    </row>
    <row r="114" spans="1:26" s="24" customFormat="1" hidden="1" outlineLevel="1" x14ac:dyDescent="0.25">
      <c r="A114" s="51"/>
      <c r="B114" s="11" t="str">
        <f>CONCATENATE("          ", "5040", " - ", "PURCHASES @ COST-LOGO CLOTHING")</f>
        <v xml:space="preserve">          5040 - PURCHASES @ COST-LOGO CLOTHING</v>
      </c>
      <c r="C114" s="11"/>
      <c r="D114" s="2">
        <v>26599.9</v>
      </c>
      <c r="E114" s="2"/>
      <c r="F114" s="22">
        <f t="shared" si="8"/>
        <v>4.8706139430124668E-2</v>
      </c>
      <c r="G114" s="2"/>
      <c r="H114" s="2"/>
      <c r="I114" s="2"/>
      <c r="J114" s="22">
        <f t="shared" si="9"/>
        <v>0</v>
      </c>
      <c r="K114" s="2"/>
      <c r="L114" s="2">
        <f t="shared" si="10"/>
        <v>26599.9</v>
      </c>
      <c r="M114" s="2"/>
      <c r="N114" s="22">
        <f t="shared" si="11"/>
        <v>0</v>
      </c>
      <c r="O114" s="11"/>
      <c r="P114" s="2">
        <v>193971.09</v>
      </c>
      <c r="Q114" s="2"/>
      <c r="R114" s="22">
        <f t="shared" si="12"/>
        <v>2.712356601520818E-2</v>
      </c>
      <c r="S114" s="2"/>
      <c r="T114" s="2"/>
      <c r="U114" s="2"/>
      <c r="V114" s="22">
        <f t="shared" si="13"/>
        <v>0</v>
      </c>
      <c r="W114" s="2"/>
      <c r="X114" s="2">
        <f t="shared" si="14"/>
        <v>193971.09</v>
      </c>
      <c r="Y114" s="2"/>
      <c r="Z114" s="22">
        <f t="shared" si="15"/>
        <v>0</v>
      </c>
    </row>
    <row r="115" spans="1:26" s="24" customFormat="1" hidden="1" outlineLevel="1" x14ac:dyDescent="0.25">
      <c r="A115" s="51"/>
      <c r="B115" s="11" t="str">
        <f>CONCATENATE("          ", "5041", " - ", "PURCHASES @ COST-LOGO GIFTS")</f>
        <v xml:space="preserve">          5041 - PURCHASES @ COST-LOGO GIFTS</v>
      </c>
      <c r="C115" s="11"/>
      <c r="D115" s="2">
        <v>26592.809999999998</v>
      </c>
      <c r="E115" s="2"/>
      <c r="F115" s="22">
        <f t="shared" si="8"/>
        <v>4.8693157180997426E-2</v>
      </c>
      <c r="G115" s="2"/>
      <c r="H115" s="2"/>
      <c r="I115" s="2"/>
      <c r="J115" s="22">
        <f t="shared" si="9"/>
        <v>0</v>
      </c>
      <c r="K115" s="2"/>
      <c r="L115" s="2">
        <f t="shared" si="10"/>
        <v>26592.809999999998</v>
      </c>
      <c r="M115" s="2"/>
      <c r="N115" s="22">
        <f t="shared" si="11"/>
        <v>0</v>
      </c>
      <c r="O115" s="11"/>
      <c r="P115" s="2">
        <v>67563.81</v>
      </c>
      <c r="Q115" s="2"/>
      <c r="R115" s="22">
        <f t="shared" si="12"/>
        <v>9.447652538190009E-3</v>
      </c>
      <c r="S115" s="2"/>
      <c r="T115" s="2"/>
      <c r="U115" s="2"/>
      <c r="V115" s="22">
        <f t="shared" si="13"/>
        <v>0</v>
      </c>
      <c r="W115" s="2"/>
      <c r="X115" s="2">
        <f t="shared" si="14"/>
        <v>67563.81</v>
      </c>
      <c r="Y115" s="2"/>
      <c r="Z115" s="22">
        <f t="shared" si="15"/>
        <v>0</v>
      </c>
    </row>
    <row r="116" spans="1:26" s="24" customFormat="1" hidden="1" outlineLevel="1" x14ac:dyDescent="0.25">
      <c r="A116" s="51"/>
      <c r="B116" s="11" t="str">
        <f>CONCATENATE("          ", "5042", " - ", "PURCHASES @ COST-EVERYDAY GIFT")</f>
        <v xml:space="preserve">          5042 - PURCHASES @ COST-EVERYDAY GIFT</v>
      </c>
      <c r="C116" s="11"/>
      <c r="D116" s="2">
        <v>1196.2</v>
      </c>
      <c r="E116" s="2"/>
      <c r="F116" s="22">
        <f t="shared" si="8"/>
        <v>2.1903196623414044E-3</v>
      </c>
      <c r="G116" s="2"/>
      <c r="H116" s="2"/>
      <c r="I116" s="2"/>
      <c r="J116" s="22">
        <f t="shared" si="9"/>
        <v>0</v>
      </c>
      <c r="K116" s="2"/>
      <c r="L116" s="2">
        <f t="shared" si="10"/>
        <v>1196.2</v>
      </c>
      <c r="M116" s="2"/>
      <c r="N116" s="22">
        <f t="shared" si="11"/>
        <v>0</v>
      </c>
      <c r="O116" s="11"/>
      <c r="P116" s="2">
        <v>19018.18</v>
      </c>
      <c r="Q116" s="2"/>
      <c r="R116" s="22">
        <f t="shared" si="12"/>
        <v>2.6593698097954286E-3</v>
      </c>
      <c r="S116" s="2"/>
      <c r="T116" s="2"/>
      <c r="U116" s="2"/>
      <c r="V116" s="22">
        <f t="shared" si="13"/>
        <v>0</v>
      </c>
      <c r="W116" s="2"/>
      <c r="X116" s="2">
        <f t="shared" si="14"/>
        <v>19018.18</v>
      </c>
      <c r="Y116" s="2"/>
      <c r="Z116" s="22">
        <f t="shared" si="15"/>
        <v>0</v>
      </c>
    </row>
    <row r="117" spans="1:26" s="24" customFormat="1" hidden="1" outlineLevel="1" x14ac:dyDescent="0.25">
      <c r="A117" s="51"/>
      <c r="B117" s="11" t="str">
        <f>CONCATENATE("          ", "5043", " - ", "PURCHASES @ COST-CARDS")</f>
        <v xml:space="preserve">          5043 - PURCHASES @ COST-CARDS</v>
      </c>
      <c r="C117" s="11"/>
      <c r="D117" s="2"/>
      <c r="E117" s="2"/>
      <c r="F117" s="22">
        <f t="shared" si="8"/>
        <v>0</v>
      </c>
      <c r="G117" s="2"/>
      <c r="H117" s="2"/>
      <c r="I117" s="2"/>
      <c r="J117" s="22">
        <f t="shared" si="9"/>
        <v>0</v>
      </c>
      <c r="K117" s="2"/>
      <c r="L117" s="2">
        <f t="shared" si="10"/>
        <v>0</v>
      </c>
      <c r="M117" s="2"/>
      <c r="N117" s="22">
        <f t="shared" si="11"/>
        <v>0</v>
      </c>
      <c r="O117" s="11"/>
      <c r="P117" s="2">
        <v>55364.33</v>
      </c>
      <c r="Q117" s="2"/>
      <c r="R117" s="22">
        <f t="shared" si="12"/>
        <v>7.7417622370569289E-3</v>
      </c>
      <c r="S117" s="2"/>
      <c r="T117" s="2"/>
      <c r="U117" s="2"/>
      <c r="V117" s="22">
        <f t="shared" si="13"/>
        <v>0</v>
      </c>
      <c r="W117" s="2"/>
      <c r="X117" s="2">
        <f t="shared" si="14"/>
        <v>55364.33</v>
      </c>
      <c r="Y117" s="2"/>
      <c r="Z117" s="22">
        <f t="shared" si="15"/>
        <v>0</v>
      </c>
    </row>
    <row r="118" spans="1:26" s="24" customFormat="1" hidden="1" outlineLevel="1" x14ac:dyDescent="0.25">
      <c r="A118" s="51"/>
      <c r="B118" s="11" t="str">
        <f>CONCATENATE("          ", "5044", " - ", "PURCHASES @ COST-ACCESSORIES")</f>
        <v xml:space="preserve">          5044 - PURCHASES @ COST-ACCESSORIES</v>
      </c>
      <c r="C118" s="11"/>
      <c r="D118" s="2"/>
      <c r="E118" s="2"/>
      <c r="F118" s="22">
        <f t="shared" si="8"/>
        <v>0</v>
      </c>
      <c r="G118" s="2"/>
      <c r="H118" s="2"/>
      <c r="I118" s="2"/>
      <c r="J118" s="22">
        <f t="shared" si="9"/>
        <v>0</v>
      </c>
      <c r="K118" s="2"/>
      <c r="L118" s="2">
        <f t="shared" si="10"/>
        <v>0</v>
      </c>
      <c r="M118" s="2"/>
      <c r="N118" s="22">
        <f t="shared" si="11"/>
        <v>0</v>
      </c>
      <c r="O118" s="11"/>
      <c r="P118" s="2">
        <v>1064.83</v>
      </c>
      <c r="Q118" s="2"/>
      <c r="R118" s="22">
        <f t="shared" si="12"/>
        <v>1.4889840955151681E-4</v>
      </c>
      <c r="S118" s="2"/>
      <c r="T118" s="2"/>
      <c r="U118" s="2"/>
      <c r="V118" s="22">
        <f t="shared" si="13"/>
        <v>0</v>
      </c>
      <c r="W118" s="2"/>
      <c r="X118" s="2">
        <f t="shared" si="14"/>
        <v>1064.83</v>
      </c>
      <c r="Y118" s="2"/>
      <c r="Z118" s="22">
        <f t="shared" si="15"/>
        <v>0</v>
      </c>
    </row>
    <row r="119" spans="1:26" s="24" customFormat="1" hidden="1" outlineLevel="1" x14ac:dyDescent="0.25">
      <c r="A119" s="51"/>
      <c r="B119" s="11" t="str">
        <f>CONCATENATE("          ", "5045", " - ", "PURCHASES @ COST-SPECIAL ORDER")</f>
        <v xml:space="preserve">          5045 - PURCHASES @ COST-SPECIAL ORDER</v>
      </c>
      <c r="C119" s="11"/>
      <c r="D119" s="2">
        <v>1909.13</v>
      </c>
      <c r="E119" s="2"/>
      <c r="F119" s="22">
        <f t="shared" si="8"/>
        <v>3.4957406595601454E-3</v>
      </c>
      <c r="G119" s="2"/>
      <c r="H119" s="2"/>
      <c r="I119" s="2"/>
      <c r="J119" s="22">
        <f t="shared" si="9"/>
        <v>0</v>
      </c>
      <c r="K119" s="2"/>
      <c r="L119" s="2">
        <f t="shared" si="10"/>
        <v>1909.13</v>
      </c>
      <c r="M119" s="2"/>
      <c r="N119" s="22">
        <f t="shared" si="11"/>
        <v>0</v>
      </c>
      <c r="O119" s="11"/>
      <c r="P119" s="2">
        <v>95373.51</v>
      </c>
      <c r="Q119" s="2"/>
      <c r="R119" s="22">
        <f t="shared" si="12"/>
        <v>1.3336367262704547E-2</v>
      </c>
      <c r="S119" s="2"/>
      <c r="T119" s="2"/>
      <c r="U119" s="2"/>
      <c r="V119" s="22">
        <f t="shared" si="13"/>
        <v>0</v>
      </c>
      <c r="W119" s="2"/>
      <c r="X119" s="2">
        <f t="shared" si="14"/>
        <v>95373.51</v>
      </c>
      <c r="Y119" s="2"/>
      <c r="Z119" s="22">
        <f t="shared" si="15"/>
        <v>0</v>
      </c>
    </row>
    <row r="120" spans="1:26" s="24" customFormat="1" hidden="1" outlineLevel="1" x14ac:dyDescent="0.25">
      <c r="A120" s="51"/>
      <c r="B120" s="11" t="str">
        <f>CONCATENATE("          ", "5053", " - ", "PURCHASES @ COST-FOOD")</f>
        <v xml:space="preserve">          5053 - PURCHASES @ COST-FOOD</v>
      </c>
      <c r="C120" s="11"/>
      <c r="D120" s="2">
        <v>44580.84</v>
      </c>
      <c r="E120" s="2"/>
      <c r="F120" s="22">
        <f t="shared" si="8"/>
        <v>8.1630404962126882E-2</v>
      </c>
      <c r="G120" s="2"/>
      <c r="H120" s="2"/>
      <c r="I120" s="2"/>
      <c r="J120" s="22">
        <f t="shared" si="9"/>
        <v>0</v>
      </c>
      <c r="K120" s="2"/>
      <c r="L120" s="2">
        <f t="shared" si="10"/>
        <v>44580.84</v>
      </c>
      <c r="M120" s="2"/>
      <c r="N120" s="22">
        <f t="shared" si="11"/>
        <v>0</v>
      </c>
      <c r="O120" s="11"/>
      <c r="P120" s="2">
        <v>342281.24</v>
      </c>
      <c r="Q120" s="2"/>
      <c r="R120" s="22">
        <f t="shared" si="12"/>
        <v>4.7862224256755556E-2</v>
      </c>
      <c r="S120" s="2"/>
      <c r="T120" s="2"/>
      <c r="U120" s="2"/>
      <c r="V120" s="22">
        <f t="shared" si="13"/>
        <v>0</v>
      </c>
      <c r="W120" s="2"/>
      <c r="X120" s="2">
        <f t="shared" si="14"/>
        <v>342281.24</v>
      </c>
      <c r="Y120" s="2"/>
      <c r="Z120" s="22">
        <f t="shared" si="15"/>
        <v>0</v>
      </c>
    </row>
    <row r="121" spans="1:26" s="24" customFormat="1" hidden="1" outlineLevel="1" x14ac:dyDescent="0.25">
      <c r="A121" s="51"/>
      <c r="B121" s="11" t="str">
        <f>CONCATENATE("          ", "5059", " - ", "PURCHASES @ COST-FOOD")</f>
        <v xml:space="preserve">          5059 - PURCHASES @ COST-FOOD</v>
      </c>
      <c r="C121" s="11"/>
      <c r="D121" s="2">
        <v>12491</v>
      </c>
      <c r="E121" s="2"/>
      <c r="F121" s="22">
        <f t="shared" si="8"/>
        <v>2.2871829879875006E-2</v>
      </c>
      <c r="G121" s="2"/>
      <c r="H121" s="2"/>
      <c r="I121" s="2"/>
      <c r="J121" s="22">
        <f t="shared" si="9"/>
        <v>0</v>
      </c>
      <c r="K121" s="2"/>
      <c r="L121" s="2">
        <f t="shared" si="10"/>
        <v>12491</v>
      </c>
      <c r="M121" s="2"/>
      <c r="N121" s="22">
        <f t="shared" si="11"/>
        <v>0</v>
      </c>
      <c r="O121" s="11"/>
      <c r="P121" s="2">
        <v>26686.289999999997</v>
      </c>
      <c r="Q121" s="2"/>
      <c r="R121" s="22">
        <f t="shared" si="12"/>
        <v>3.7316248958336518E-3</v>
      </c>
      <c r="S121" s="2"/>
      <c r="T121" s="2"/>
      <c r="U121" s="2"/>
      <c r="V121" s="22">
        <f t="shared" si="13"/>
        <v>0</v>
      </c>
      <c r="W121" s="2"/>
      <c r="X121" s="2">
        <f t="shared" si="14"/>
        <v>26686.289999999997</v>
      </c>
      <c r="Y121" s="2"/>
      <c r="Z121" s="22">
        <f t="shared" si="15"/>
        <v>0</v>
      </c>
    </row>
    <row r="122" spans="1:26" s="24" customFormat="1" hidden="1" outlineLevel="1" x14ac:dyDescent="0.25">
      <c r="A122" s="51"/>
      <c r="B122" s="11" t="str">
        <f>CONCATENATE("          ", "5081", " - ", "PURCHASES @ COST-ELECTRONICS")</f>
        <v xml:space="preserve">          5081 - PURCHASES @ COST-ELECTRONICS</v>
      </c>
      <c r="C122" s="11"/>
      <c r="D122" s="2">
        <v>6584.13</v>
      </c>
      <c r="E122" s="2"/>
      <c r="F122" s="22">
        <f t="shared" si="8"/>
        <v>1.2055968398605512E-2</v>
      </c>
      <c r="G122" s="2"/>
      <c r="H122" s="2"/>
      <c r="I122" s="2"/>
      <c r="J122" s="22">
        <f t="shared" si="9"/>
        <v>0</v>
      </c>
      <c r="K122" s="2"/>
      <c r="L122" s="2">
        <f t="shared" si="10"/>
        <v>6584.13</v>
      </c>
      <c r="M122" s="2"/>
      <c r="N122" s="22">
        <f t="shared" si="11"/>
        <v>0</v>
      </c>
      <c r="O122" s="11"/>
      <c r="P122" s="2">
        <v>32157.900000000005</v>
      </c>
      <c r="Q122" s="2"/>
      <c r="R122" s="22">
        <f t="shared" si="12"/>
        <v>4.4967367227789629E-3</v>
      </c>
      <c r="S122" s="2"/>
      <c r="T122" s="2"/>
      <c r="U122" s="2"/>
      <c r="V122" s="22">
        <f t="shared" si="13"/>
        <v>0</v>
      </c>
      <c r="W122" s="2"/>
      <c r="X122" s="2">
        <f t="shared" si="14"/>
        <v>32157.900000000005</v>
      </c>
      <c r="Y122" s="2"/>
      <c r="Z122" s="22">
        <f t="shared" si="15"/>
        <v>0</v>
      </c>
    </row>
    <row r="123" spans="1:26" s="24" customFormat="1" hidden="1" outlineLevel="1" x14ac:dyDescent="0.25">
      <c r="A123" s="51"/>
      <c r="B123" s="11" t="str">
        <f>CONCATENATE("          ", "5082", " - ", "PURCHASES @ COST-COMPUTER HARD")</f>
        <v xml:space="preserve">          5082 - PURCHASES @ COST-COMPUTER HARD</v>
      </c>
      <c r="C123" s="11"/>
      <c r="D123" s="2">
        <v>184376.31</v>
      </c>
      <c r="E123" s="2"/>
      <c r="F123" s="22">
        <f t="shared" si="8"/>
        <v>0.33760496326948181</v>
      </c>
      <c r="G123" s="2"/>
      <c r="H123" s="2"/>
      <c r="I123" s="2"/>
      <c r="J123" s="22">
        <f t="shared" si="9"/>
        <v>0</v>
      </c>
      <c r="K123" s="2"/>
      <c r="L123" s="2">
        <f t="shared" si="10"/>
        <v>184376.31</v>
      </c>
      <c r="M123" s="2"/>
      <c r="N123" s="22">
        <f t="shared" si="11"/>
        <v>0</v>
      </c>
      <c r="O123" s="11"/>
      <c r="P123" s="2">
        <v>1263577.8400000001</v>
      </c>
      <c r="Q123" s="2"/>
      <c r="R123" s="22">
        <f t="shared" si="12"/>
        <v>0.17668992301169295</v>
      </c>
      <c r="S123" s="2"/>
      <c r="T123" s="2"/>
      <c r="U123" s="2"/>
      <c r="V123" s="22">
        <f t="shared" si="13"/>
        <v>0</v>
      </c>
      <c r="W123" s="2"/>
      <c r="X123" s="2">
        <f t="shared" si="14"/>
        <v>1263577.8400000001</v>
      </c>
      <c r="Y123" s="2"/>
      <c r="Z123" s="22">
        <f t="shared" si="15"/>
        <v>0</v>
      </c>
    </row>
    <row r="124" spans="1:26" s="24" customFormat="1" hidden="1" outlineLevel="1" x14ac:dyDescent="0.25">
      <c r="A124" s="51"/>
      <c r="B124" s="11" t="str">
        <f>CONCATENATE("          ", "5083", " - ", "PURCHASES @ COST-COMPUTER EQUI")</f>
        <v xml:space="preserve">          5083 - PURCHASES @ COST-COMPUTER EQUI</v>
      </c>
      <c r="C124" s="11"/>
      <c r="D124" s="2">
        <v>8631.6</v>
      </c>
      <c r="E124" s="2"/>
      <c r="F124" s="22">
        <f t="shared" si="8"/>
        <v>1.5805018556651118E-2</v>
      </c>
      <c r="G124" s="2"/>
      <c r="H124" s="2"/>
      <c r="I124" s="2"/>
      <c r="J124" s="22">
        <f t="shared" si="9"/>
        <v>0</v>
      </c>
      <c r="K124" s="2"/>
      <c r="L124" s="2">
        <f t="shared" si="10"/>
        <v>8631.6</v>
      </c>
      <c r="M124" s="2"/>
      <c r="N124" s="22">
        <f t="shared" si="11"/>
        <v>0</v>
      </c>
      <c r="O124" s="11"/>
      <c r="P124" s="2">
        <v>99188.26999999999</v>
      </c>
      <c r="Q124" s="2"/>
      <c r="R124" s="22">
        <f t="shared" si="12"/>
        <v>1.3869796727333404E-2</v>
      </c>
      <c r="S124" s="2"/>
      <c r="T124" s="2"/>
      <c r="U124" s="2"/>
      <c r="V124" s="22">
        <f t="shared" si="13"/>
        <v>0</v>
      </c>
      <c r="W124" s="2"/>
      <c r="X124" s="2">
        <f t="shared" si="14"/>
        <v>99188.26999999999</v>
      </c>
      <c r="Y124" s="2"/>
      <c r="Z124" s="22">
        <f t="shared" si="15"/>
        <v>0</v>
      </c>
    </row>
    <row r="125" spans="1:26" s="24" customFormat="1" hidden="1" outlineLevel="1" x14ac:dyDescent="0.25">
      <c r="A125" s="51"/>
      <c r="B125" s="11" t="str">
        <f>CONCATENATE("          ", "5085", " - ", "PURCHASES @ COST-SOFTWARE")</f>
        <v xml:space="preserve">          5085 - PURCHASES @ COST-SOFTWARE</v>
      </c>
      <c r="C125" s="11"/>
      <c r="D125" s="2">
        <v>1399.23</v>
      </c>
      <c r="E125" s="2"/>
      <c r="F125" s="22">
        <f t="shared" si="8"/>
        <v>2.5620807399581703E-3</v>
      </c>
      <c r="G125" s="2"/>
      <c r="H125" s="2"/>
      <c r="I125" s="2"/>
      <c r="J125" s="22">
        <f t="shared" si="9"/>
        <v>0</v>
      </c>
      <c r="K125" s="2"/>
      <c r="L125" s="2">
        <f t="shared" si="10"/>
        <v>1399.23</v>
      </c>
      <c r="M125" s="2"/>
      <c r="N125" s="22">
        <f t="shared" si="11"/>
        <v>0</v>
      </c>
      <c r="O125" s="11"/>
      <c r="P125" s="2">
        <v>30145.449999999997</v>
      </c>
      <c r="Q125" s="2"/>
      <c r="R125" s="22">
        <f t="shared" si="12"/>
        <v>4.2153297335863682E-3</v>
      </c>
      <c r="S125" s="2"/>
      <c r="T125" s="2"/>
      <c r="U125" s="2"/>
      <c r="V125" s="22">
        <f t="shared" si="13"/>
        <v>0</v>
      </c>
      <c r="W125" s="2"/>
      <c r="X125" s="2">
        <f t="shared" si="14"/>
        <v>30145.449999999997</v>
      </c>
      <c r="Y125" s="2"/>
      <c r="Z125" s="22">
        <f t="shared" si="15"/>
        <v>0</v>
      </c>
    </row>
    <row r="126" spans="1:26" s="24" customFormat="1" hidden="1" outlineLevel="1" x14ac:dyDescent="0.25">
      <c r="A126" s="51"/>
      <c r="B126" s="11" t="str">
        <f>CONCATENATE("          ", "5086", " - ", "PURCHASES @ COST-COMPUTER SUPP")</f>
        <v xml:space="preserve">          5086 - PURCHASES @ COST-COMPUTER SUPP</v>
      </c>
      <c r="C126" s="11"/>
      <c r="D126" s="2">
        <v>398.64</v>
      </c>
      <c r="E126" s="2"/>
      <c r="F126" s="22">
        <f t="shared" si="8"/>
        <v>7.2993565473648012E-4</v>
      </c>
      <c r="G126" s="2"/>
      <c r="H126" s="2"/>
      <c r="I126" s="2"/>
      <c r="J126" s="22">
        <f t="shared" si="9"/>
        <v>0</v>
      </c>
      <c r="K126" s="2"/>
      <c r="L126" s="2">
        <f t="shared" si="10"/>
        <v>398.64</v>
      </c>
      <c r="M126" s="2"/>
      <c r="N126" s="22">
        <f t="shared" si="11"/>
        <v>0</v>
      </c>
      <c r="O126" s="11"/>
      <c r="P126" s="2">
        <v>23138.489999999998</v>
      </c>
      <c r="Q126" s="2"/>
      <c r="R126" s="22">
        <f t="shared" si="12"/>
        <v>3.2355252579507302E-3</v>
      </c>
      <c r="S126" s="2"/>
      <c r="T126" s="2"/>
      <c r="U126" s="2"/>
      <c r="V126" s="22">
        <f t="shared" si="13"/>
        <v>0</v>
      </c>
      <c r="W126" s="2"/>
      <c r="X126" s="2">
        <f t="shared" si="14"/>
        <v>23138.489999999998</v>
      </c>
      <c r="Y126" s="2"/>
      <c r="Z126" s="22">
        <f t="shared" si="15"/>
        <v>0</v>
      </c>
    </row>
    <row r="127" spans="1:26" s="24" customFormat="1" hidden="1" outlineLevel="1" x14ac:dyDescent="0.25">
      <c r="A127" s="51"/>
      <c r="B127" s="11" t="str">
        <f>CONCATENATE("          ", "5200", " - ", "PURCHASES OFFSET")</f>
        <v xml:space="preserve">          5200 - PURCHASES OFFSET</v>
      </c>
      <c r="C127" s="11"/>
      <c r="D127" s="2">
        <v>-46641.740000000005</v>
      </c>
      <c r="E127" s="2"/>
      <c r="F127" s="22">
        <f t="shared" si="8"/>
        <v>-8.540404631985922E-2</v>
      </c>
      <c r="G127" s="2"/>
      <c r="H127" s="2"/>
      <c r="I127" s="2"/>
      <c r="J127" s="22">
        <f t="shared" si="9"/>
        <v>0</v>
      </c>
      <c r="K127" s="2"/>
      <c r="L127" s="2">
        <f t="shared" si="10"/>
        <v>-46641.740000000005</v>
      </c>
      <c r="M127" s="2"/>
      <c r="N127" s="22">
        <f t="shared" si="11"/>
        <v>0</v>
      </c>
      <c r="O127" s="11"/>
      <c r="P127" s="2">
        <v>-3425688.92</v>
      </c>
      <c r="Q127" s="2"/>
      <c r="R127" s="22">
        <f t="shared" si="12"/>
        <v>-0.47902447508640189</v>
      </c>
      <c r="S127" s="2"/>
      <c r="T127" s="2"/>
      <c r="U127" s="2"/>
      <c r="V127" s="22">
        <f t="shared" si="13"/>
        <v>0</v>
      </c>
      <c r="W127" s="2"/>
      <c r="X127" s="2">
        <f t="shared" si="14"/>
        <v>-3425688.92</v>
      </c>
      <c r="Y127" s="2"/>
      <c r="Z127" s="22">
        <f t="shared" si="15"/>
        <v>0</v>
      </c>
    </row>
    <row r="128" spans="1:26" s="24" customFormat="1" hidden="1" outlineLevel="1" x14ac:dyDescent="0.25">
      <c r="A128" s="51"/>
      <c r="B128" s="11" t="str">
        <f>CONCATENATE("          ", "5300", " - ", "COG$ OFFSET")</f>
        <v xml:space="preserve">          5300 - COG$ OFFSET</v>
      </c>
      <c r="C128" s="11"/>
      <c r="D128" s="2">
        <v>286283</v>
      </c>
      <c r="E128" s="2"/>
      <c r="F128" s="22">
        <f t="shared" si="8"/>
        <v>0.52420271183253997</v>
      </c>
      <c r="G128" s="2"/>
      <c r="H128" s="2"/>
      <c r="I128" s="2"/>
      <c r="J128" s="22">
        <f t="shared" si="9"/>
        <v>0</v>
      </c>
      <c r="K128" s="2"/>
      <c r="L128" s="2">
        <f t="shared" si="10"/>
        <v>286283</v>
      </c>
      <c r="M128" s="2"/>
      <c r="N128" s="22">
        <f t="shared" si="11"/>
        <v>0</v>
      </c>
      <c r="O128" s="11"/>
      <c r="P128" s="2">
        <v>3584463</v>
      </c>
      <c r="Q128" s="2"/>
      <c r="R128" s="22">
        <f t="shared" si="12"/>
        <v>0.50122633640699321</v>
      </c>
      <c r="S128" s="2"/>
      <c r="T128" s="2"/>
      <c r="U128" s="2"/>
      <c r="V128" s="22">
        <f t="shared" si="13"/>
        <v>0</v>
      </c>
      <c r="W128" s="2"/>
      <c r="X128" s="2">
        <f t="shared" si="14"/>
        <v>3584463</v>
      </c>
      <c r="Y128" s="2"/>
      <c r="Z128" s="22">
        <f t="shared" si="15"/>
        <v>0</v>
      </c>
    </row>
    <row r="129" spans="1:26" s="24" customFormat="1" hidden="1" outlineLevel="1" x14ac:dyDescent="0.25">
      <c r="A129" s="51"/>
      <c r="B129" s="11" t="str">
        <f>CONCATENATE("          ", "5501", " - ", "FREIGHT-IN-NEW TEXT")</f>
        <v xml:space="preserve">          5501 - FREIGHT-IN-NEW TEXT</v>
      </c>
      <c r="C129" s="11"/>
      <c r="D129" s="2">
        <v>4638.13</v>
      </c>
      <c r="E129" s="2"/>
      <c r="F129" s="22">
        <f t="shared" si="8"/>
        <v>8.4927163814542215E-3</v>
      </c>
      <c r="G129" s="2"/>
      <c r="H129" s="2"/>
      <c r="I129" s="2"/>
      <c r="J129" s="22">
        <f t="shared" si="9"/>
        <v>0</v>
      </c>
      <c r="K129" s="2"/>
      <c r="L129" s="2">
        <f t="shared" si="10"/>
        <v>4638.13</v>
      </c>
      <c r="M129" s="2"/>
      <c r="N129" s="22">
        <f t="shared" si="11"/>
        <v>0</v>
      </c>
      <c r="O129" s="11"/>
      <c r="P129" s="2">
        <v>49256.92</v>
      </c>
      <c r="Q129" s="2"/>
      <c r="R129" s="22">
        <f t="shared" si="12"/>
        <v>6.8877445671199156E-3</v>
      </c>
      <c r="S129" s="2"/>
      <c r="T129" s="2"/>
      <c r="U129" s="2"/>
      <c r="V129" s="22">
        <f t="shared" si="13"/>
        <v>0</v>
      </c>
      <c r="W129" s="2"/>
      <c r="X129" s="2">
        <f t="shared" si="14"/>
        <v>49256.92</v>
      </c>
      <c r="Y129" s="2"/>
      <c r="Z129" s="22">
        <f t="shared" si="15"/>
        <v>0</v>
      </c>
    </row>
    <row r="130" spans="1:26" s="24" customFormat="1" hidden="1" outlineLevel="1" x14ac:dyDescent="0.25">
      <c r="A130" s="51"/>
      <c r="B130" s="11" t="str">
        <f>CONCATENATE("          ", "5502", " - ", "FREIGHT-IN-USED TEXT")</f>
        <v xml:space="preserve">          5502 - FREIGHT-IN-USED TEXT</v>
      </c>
      <c r="C130" s="11"/>
      <c r="D130" s="2">
        <v>1484.45</v>
      </c>
      <c r="E130" s="2"/>
      <c r="F130" s="22">
        <f t="shared" si="8"/>
        <v>2.7181240785509931E-3</v>
      </c>
      <c r="G130" s="2"/>
      <c r="H130" s="2"/>
      <c r="I130" s="2"/>
      <c r="J130" s="22">
        <f t="shared" si="9"/>
        <v>0</v>
      </c>
      <c r="K130" s="2"/>
      <c r="L130" s="2">
        <f t="shared" si="10"/>
        <v>1484.45</v>
      </c>
      <c r="M130" s="2"/>
      <c r="N130" s="22">
        <f t="shared" si="11"/>
        <v>0</v>
      </c>
      <c r="O130" s="11"/>
      <c r="P130" s="2">
        <v>17136.759999999998</v>
      </c>
      <c r="Q130" s="2"/>
      <c r="R130" s="22">
        <f t="shared" si="12"/>
        <v>2.3962851430425992E-3</v>
      </c>
      <c r="S130" s="2"/>
      <c r="T130" s="2"/>
      <c r="U130" s="2"/>
      <c r="V130" s="22">
        <f t="shared" si="13"/>
        <v>0</v>
      </c>
      <c r="W130" s="2"/>
      <c r="X130" s="2">
        <f t="shared" si="14"/>
        <v>17136.759999999998</v>
      </c>
      <c r="Y130" s="2"/>
      <c r="Z130" s="22">
        <f t="shared" si="15"/>
        <v>0</v>
      </c>
    </row>
    <row r="131" spans="1:26" s="24" customFormat="1" hidden="1" outlineLevel="1" x14ac:dyDescent="0.25">
      <c r="A131" s="51"/>
      <c r="B131" s="11" t="str">
        <f>CONCATENATE("          ", "5504", " - ", "FREIGHT-IN-DIGITAL TEXT")</f>
        <v xml:space="preserve">          5504 - FREIGHT-IN-DIGITAL TEXT</v>
      </c>
      <c r="C131" s="11"/>
      <c r="D131" s="2">
        <v>6.94</v>
      </c>
      <c r="E131" s="2"/>
      <c r="F131" s="22">
        <f t="shared" si="8"/>
        <v>1.2707589413684457E-5</v>
      </c>
      <c r="G131" s="2"/>
      <c r="H131" s="2"/>
      <c r="I131" s="2"/>
      <c r="J131" s="22">
        <f t="shared" si="9"/>
        <v>0</v>
      </c>
      <c r="K131" s="2"/>
      <c r="L131" s="2">
        <f t="shared" si="10"/>
        <v>6.94</v>
      </c>
      <c r="M131" s="2"/>
      <c r="N131" s="22">
        <f t="shared" si="11"/>
        <v>0</v>
      </c>
      <c r="O131" s="11"/>
      <c r="P131" s="2">
        <v>28.92</v>
      </c>
      <c r="Q131" s="2"/>
      <c r="R131" s="22">
        <f t="shared" si="12"/>
        <v>4.0439713421202128E-6</v>
      </c>
      <c r="S131" s="2"/>
      <c r="T131" s="2"/>
      <c r="U131" s="2"/>
      <c r="V131" s="22">
        <f t="shared" si="13"/>
        <v>0</v>
      </c>
      <c r="W131" s="2"/>
      <c r="X131" s="2">
        <f t="shared" si="14"/>
        <v>28.92</v>
      </c>
      <c r="Y131" s="2"/>
      <c r="Z131" s="22">
        <f t="shared" si="15"/>
        <v>0</v>
      </c>
    </row>
    <row r="132" spans="1:26" s="24" customFormat="1" hidden="1" outlineLevel="1" x14ac:dyDescent="0.25">
      <c r="A132" s="51"/>
      <c r="B132" s="11" t="str">
        <f>CONCATENATE("          ", "5513", " - ", "FREIGHT-IN-TRADE BOOKS")</f>
        <v xml:space="preserve">          5513 - FREIGHT-IN-TRADE BOOKS</v>
      </c>
      <c r="C132" s="11"/>
      <c r="D132" s="2"/>
      <c r="E132" s="2"/>
      <c r="F132" s="22">
        <f t="shared" si="8"/>
        <v>0</v>
      </c>
      <c r="G132" s="2"/>
      <c r="H132" s="2"/>
      <c r="I132" s="2"/>
      <c r="J132" s="22">
        <f t="shared" si="9"/>
        <v>0</v>
      </c>
      <c r="K132" s="2"/>
      <c r="L132" s="2">
        <f t="shared" si="10"/>
        <v>0</v>
      </c>
      <c r="M132" s="2"/>
      <c r="N132" s="22">
        <f t="shared" si="11"/>
        <v>0</v>
      </c>
      <c r="O132" s="11"/>
      <c r="P132" s="2">
        <v>33.520000000000003</v>
      </c>
      <c r="Q132" s="2"/>
      <c r="R132" s="22">
        <f t="shared" si="12"/>
        <v>4.6872032983357381E-6</v>
      </c>
      <c r="S132" s="2"/>
      <c r="T132" s="2"/>
      <c r="U132" s="2"/>
      <c r="V132" s="22">
        <f t="shared" si="13"/>
        <v>0</v>
      </c>
      <c r="W132" s="2"/>
      <c r="X132" s="2">
        <f t="shared" si="14"/>
        <v>33.520000000000003</v>
      </c>
      <c r="Y132" s="2"/>
      <c r="Z132" s="22">
        <f t="shared" si="15"/>
        <v>0</v>
      </c>
    </row>
    <row r="133" spans="1:26" s="24" customFormat="1" hidden="1" outlineLevel="1" x14ac:dyDescent="0.25">
      <c r="A133" s="51"/>
      <c r="B133" s="11" t="str">
        <f>CONCATENATE("          ", "5525", " - ", "FREIGHT-IN-TEST FORMS")</f>
        <v xml:space="preserve">          5525 - FREIGHT-IN-TEST FORMS</v>
      </c>
      <c r="C133" s="11"/>
      <c r="D133" s="2"/>
      <c r="E133" s="2"/>
      <c r="F133" s="22">
        <f t="shared" si="8"/>
        <v>0</v>
      </c>
      <c r="G133" s="2"/>
      <c r="H133" s="2"/>
      <c r="I133" s="2"/>
      <c r="J133" s="22">
        <f t="shared" si="9"/>
        <v>0</v>
      </c>
      <c r="K133" s="2"/>
      <c r="L133" s="2">
        <f t="shared" si="10"/>
        <v>0</v>
      </c>
      <c r="M133" s="2"/>
      <c r="N133" s="22">
        <f t="shared" si="11"/>
        <v>0</v>
      </c>
      <c r="O133" s="11"/>
      <c r="P133" s="2">
        <v>48.14</v>
      </c>
      <c r="Q133" s="2"/>
      <c r="R133" s="22">
        <f t="shared" si="12"/>
        <v>6.7315622548294279E-6</v>
      </c>
      <c r="S133" s="2"/>
      <c r="T133" s="2"/>
      <c r="U133" s="2"/>
      <c r="V133" s="22">
        <f t="shared" si="13"/>
        <v>0</v>
      </c>
      <c r="W133" s="2"/>
      <c r="X133" s="2">
        <f t="shared" si="14"/>
        <v>48.14</v>
      </c>
      <c r="Y133" s="2"/>
      <c r="Z133" s="22">
        <f t="shared" si="15"/>
        <v>0</v>
      </c>
    </row>
    <row r="134" spans="1:26" s="24" customFormat="1" hidden="1" outlineLevel="1" x14ac:dyDescent="0.25">
      <c r="A134" s="51"/>
      <c r="B134" s="11" t="str">
        <f>CONCATENATE("          ", "5527", " - ", "FREIGHT-IN-SCHOOL SUPPLIES")</f>
        <v xml:space="preserve">          5527 - FREIGHT-IN-SCHOOL SUPPLIES</v>
      </c>
      <c r="C134" s="11"/>
      <c r="D134" s="2"/>
      <c r="E134" s="2"/>
      <c r="F134" s="22">
        <f t="shared" si="8"/>
        <v>0</v>
      </c>
      <c r="G134" s="2"/>
      <c r="H134" s="2"/>
      <c r="I134" s="2"/>
      <c r="J134" s="22">
        <f t="shared" si="9"/>
        <v>0</v>
      </c>
      <c r="K134" s="2"/>
      <c r="L134" s="2">
        <f t="shared" si="10"/>
        <v>0</v>
      </c>
      <c r="M134" s="2"/>
      <c r="N134" s="22">
        <f t="shared" si="11"/>
        <v>0</v>
      </c>
      <c r="O134" s="11"/>
      <c r="P134" s="2">
        <v>177.5</v>
      </c>
      <c r="Q134" s="2"/>
      <c r="R134" s="22">
        <f t="shared" si="12"/>
        <v>2.4820363527881666E-5</v>
      </c>
      <c r="S134" s="2"/>
      <c r="T134" s="2"/>
      <c r="U134" s="2"/>
      <c r="V134" s="22">
        <f t="shared" si="13"/>
        <v>0</v>
      </c>
      <c r="W134" s="2"/>
      <c r="X134" s="2">
        <f t="shared" si="14"/>
        <v>177.5</v>
      </c>
      <c r="Y134" s="2"/>
      <c r="Z134" s="22">
        <f t="shared" si="15"/>
        <v>0</v>
      </c>
    </row>
    <row r="135" spans="1:26" s="24" customFormat="1" hidden="1" outlineLevel="1" x14ac:dyDescent="0.25">
      <c r="A135" s="51"/>
      <c r="B135" s="11" t="str">
        <f>CONCATENATE("          ", "5528", " - ", "FREIGHT-IN-ART/TECH")</f>
        <v xml:space="preserve">          5528 - FREIGHT-IN-ART/TECH</v>
      </c>
      <c r="C135" s="11"/>
      <c r="D135" s="2">
        <v>12.76</v>
      </c>
      <c r="E135" s="2"/>
      <c r="F135" s="22">
        <f t="shared" si="8"/>
        <v>2.3364386299512057E-5</v>
      </c>
      <c r="G135" s="2"/>
      <c r="H135" s="2"/>
      <c r="I135" s="2"/>
      <c r="J135" s="22">
        <f t="shared" si="9"/>
        <v>0</v>
      </c>
      <c r="K135" s="2"/>
      <c r="L135" s="2">
        <f t="shared" si="10"/>
        <v>12.76</v>
      </c>
      <c r="M135" s="2"/>
      <c r="N135" s="22">
        <f t="shared" si="11"/>
        <v>0</v>
      </c>
      <c r="O135" s="11"/>
      <c r="P135" s="2">
        <v>351.5</v>
      </c>
      <c r="Q135" s="2"/>
      <c r="R135" s="22">
        <f t="shared" si="12"/>
        <v>4.9151311436903695E-5</v>
      </c>
      <c r="S135" s="2"/>
      <c r="T135" s="2"/>
      <c r="U135" s="2"/>
      <c r="V135" s="22">
        <f t="shared" si="13"/>
        <v>0</v>
      </c>
      <c r="W135" s="2"/>
      <c r="X135" s="2">
        <f t="shared" si="14"/>
        <v>351.5</v>
      </c>
      <c r="Y135" s="2"/>
      <c r="Z135" s="22">
        <f t="shared" si="15"/>
        <v>0</v>
      </c>
    </row>
    <row r="136" spans="1:26" s="24" customFormat="1" hidden="1" outlineLevel="1" x14ac:dyDescent="0.25">
      <c r="A136" s="51"/>
      <c r="B136" s="11" t="str">
        <f>CONCATENATE("          ", "5540", " - ", "FREIGHT-IN-LOGO CLOTHING")</f>
        <v xml:space="preserve">          5540 - FREIGHT-IN-LOGO CLOTHING</v>
      </c>
      <c r="C136" s="11"/>
      <c r="D136" s="2">
        <v>150.6</v>
      </c>
      <c r="E136" s="2"/>
      <c r="F136" s="22">
        <f t="shared" si="8"/>
        <v>2.7575835240646672E-4</v>
      </c>
      <c r="G136" s="2"/>
      <c r="H136" s="2"/>
      <c r="I136" s="2"/>
      <c r="J136" s="22">
        <f t="shared" si="9"/>
        <v>0</v>
      </c>
      <c r="K136" s="2"/>
      <c r="L136" s="2">
        <f t="shared" si="10"/>
        <v>150.6</v>
      </c>
      <c r="M136" s="2"/>
      <c r="N136" s="22">
        <f t="shared" si="11"/>
        <v>0</v>
      </c>
      <c r="O136" s="11"/>
      <c r="P136" s="2">
        <v>5941.23</v>
      </c>
      <c r="Q136" s="2"/>
      <c r="R136" s="22">
        <f t="shared" si="12"/>
        <v>8.3078021635355707E-4</v>
      </c>
      <c r="S136" s="2"/>
      <c r="T136" s="2"/>
      <c r="U136" s="2"/>
      <c r="V136" s="22">
        <f t="shared" si="13"/>
        <v>0</v>
      </c>
      <c r="W136" s="2"/>
      <c r="X136" s="2">
        <f t="shared" si="14"/>
        <v>5941.23</v>
      </c>
      <c r="Y136" s="2"/>
      <c r="Z136" s="22">
        <f t="shared" si="15"/>
        <v>0</v>
      </c>
    </row>
    <row r="137" spans="1:26" s="24" customFormat="1" hidden="1" outlineLevel="1" x14ac:dyDescent="0.25">
      <c r="A137" s="51"/>
      <c r="B137" s="11" t="str">
        <f>CONCATENATE("          ", "5541", " - ", "FREIGHT-IN-LOGO GIFTS")</f>
        <v xml:space="preserve">          5541 - FREIGHT-IN-LOGO GIFTS</v>
      </c>
      <c r="C137" s="11"/>
      <c r="D137" s="2">
        <v>375.06</v>
      </c>
      <c r="E137" s="2"/>
      <c r="F137" s="22">
        <f t="shared" si="8"/>
        <v>6.8675914776606523E-4</v>
      </c>
      <c r="G137" s="2"/>
      <c r="H137" s="2"/>
      <c r="I137" s="2"/>
      <c r="J137" s="22">
        <f t="shared" si="9"/>
        <v>0</v>
      </c>
      <c r="K137" s="2"/>
      <c r="L137" s="2">
        <f t="shared" si="10"/>
        <v>375.06</v>
      </c>
      <c r="M137" s="2"/>
      <c r="N137" s="22">
        <f t="shared" si="11"/>
        <v>0</v>
      </c>
      <c r="O137" s="11"/>
      <c r="P137" s="2">
        <v>2077.9299999999998</v>
      </c>
      <c r="Q137" s="2"/>
      <c r="R137" s="22">
        <f t="shared" si="12"/>
        <v>2.9056325625628814E-4</v>
      </c>
      <c r="S137" s="2"/>
      <c r="T137" s="2"/>
      <c r="U137" s="2"/>
      <c r="V137" s="22">
        <f t="shared" si="13"/>
        <v>0</v>
      </c>
      <c r="W137" s="2"/>
      <c r="X137" s="2">
        <f t="shared" si="14"/>
        <v>2077.9299999999998</v>
      </c>
      <c r="Y137" s="2"/>
      <c r="Z137" s="22">
        <f t="shared" si="15"/>
        <v>0</v>
      </c>
    </row>
    <row r="138" spans="1:26" s="24" customFormat="1" hidden="1" outlineLevel="1" x14ac:dyDescent="0.25">
      <c r="A138" s="51"/>
      <c r="B138" s="11" t="str">
        <f>CONCATENATE("          ", "5542", " - ", "FREIGHT-IN-EVERYDAY GIFTS")</f>
        <v xml:space="preserve">          5542 - FREIGHT-IN-EVERYDAY GIFTS</v>
      </c>
      <c r="C138" s="11"/>
      <c r="D138" s="2"/>
      <c r="E138" s="2"/>
      <c r="F138" s="22">
        <f t="shared" si="8"/>
        <v>0</v>
      </c>
      <c r="G138" s="2"/>
      <c r="H138" s="2"/>
      <c r="I138" s="2"/>
      <c r="J138" s="22">
        <f t="shared" si="9"/>
        <v>0</v>
      </c>
      <c r="K138" s="2"/>
      <c r="L138" s="2">
        <f t="shared" si="10"/>
        <v>0</v>
      </c>
      <c r="M138" s="2"/>
      <c r="N138" s="22">
        <f t="shared" si="11"/>
        <v>0</v>
      </c>
      <c r="O138" s="11"/>
      <c r="P138" s="2">
        <v>383.93</v>
      </c>
      <c r="Q138" s="2"/>
      <c r="R138" s="22">
        <f t="shared" si="12"/>
        <v>5.3686096728223149E-5</v>
      </c>
      <c r="S138" s="2"/>
      <c r="T138" s="2"/>
      <c r="U138" s="2"/>
      <c r="V138" s="22">
        <f t="shared" si="13"/>
        <v>0</v>
      </c>
      <c r="W138" s="2"/>
      <c r="X138" s="2">
        <f t="shared" si="14"/>
        <v>383.93</v>
      </c>
      <c r="Y138" s="2"/>
      <c r="Z138" s="22">
        <f t="shared" si="15"/>
        <v>0</v>
      </c>
    </row>
    <row r="139" spans="1:26" s="24" customFormat="1" hidden="1" outlineLevel="1" x14ac:dyDescent="0.25">
      <c r="A139" s="51"/>
      <c r="B139" s="11" t="str">
        <f>CONCATENATE("          ", "5543", " - ", "FREIGHT-IN-CARDS")</f>
        <v xml:space="preserve">          5543 - FREIGHT-IN-CARDS</v>
      </c>
      <c r="C139" s="11"/>
      <c r="D139" s="2"/>
      <c r="E139" s="2"/>
      <c r="F139" s="22">
        <f t="shared" si="8"/>
        <v>0</v>
      </c>
      <c r="G139" s="2"/>
      <c r="H139" s="2"/>
      <c r="I139" s="2"/>
      <c r="J139" s="22">
        <f t="shared" si="9"/>
        <v>0</v>
      </c>
      <c r="K139" s="2"/>
      <c r="L139" s="2">
        <f t="shared" si="10"/>
        <v>0</v>
      </c>
      <c r="M139" s="2"/>
      <c r="N139" s="22">
        <f t="shared" si="11"/>
        <v>0</v>
      </c>
      <c r="O139" s="11"/>
      <c r="P139" s="2">
        <v>9110.5300000000007</v>
      </c>
      <c r="Q139" s="2"/>
      <c r="R139" s="22">
        <f t="shared" si="12"/>
        <v>1.2739530508826579E-3</v>
      </c>
      <c r="S139" s="2"/>
      <c r="T139" s="2"/>
      <c r="U139" s="2"/>
      <c r="V139" s="22">
        <f t="shared" si="13"/>
        <v>0</v>
      </c>
      <c r="W139" s="2"/>
      <c r="X139" s="2">
        <f t="shared" si="14"/>
        <v>9110.5300000000007</v>
      </c>
      <c r="Y139" s="2"/>
      <c r="Z139" s="22">
        <f t="shared" si="15"/>
        <v>0</v>
      </c>
    </row>
    <row r="140" spans="1:26" s="24" customFormat="1" hidden="1" outlineLevel="1" x14ac:dyDescent="0.25">
      <c r="A140" s="51"/>
      <c r="B140" s="11" t="str">
        <f>CONCATENATE("          ", "5545", " - ", "FREIGHT-IN-SPECIAL ORDERS")</f>
        <v xml:space="preserve">          5545 - FREIGHT-IN-SPECIAL ORDERS</v>
      </c>
      <c r="C140" s="11"/>
      <c r="D140" s="2">
        <v>134.74</v>
      </c>
      <c r="E140" s="2"/>
      <c r="F140" s="22">
        <f t="shared" si="8"/>
        <v>2.4671766536020804E-4</v>
      </c>
      <c r="G140" s="2"/>
      <c r="H140" s="2"/>
      <c r="I140" s="2"/>
      <c r="J140" s="22">
        <f t="shared" si="9"/>
        <v>0</v>
      </c>
      <c r="K140" s="2"/>
      <c r="L140" s="2">
        <f t="shared" si="10"/>
        <v>134.74</v>
      </c>
      <c r="M140" s="2"/>
      <c r="N140" s="22">
        <f t="shared" si="11"/>
        <v>0</v>
      </c>
      <c r="O140" s="11"/>
      <c r="P140" s="2">
        <v>1248.53</v>
      </c>
      <c r="Q140" s="2"/>
      <c r="R140" s="22">
        <f t="shared" si="12"/>
        <v>1.7458573788994985E-4</v>
      </c>
      <c r="S140" s="2"/>
      <c r="T140" s="2"/>
      <c r="U140" s="2"/>
      <c r="V140" s="22">
        <f t="shared" si="13"/>
        <v>0</v>
      </c>
      <c r="W140" s="2"/>
      <c r="X140" s="2">
        <f t="shared" si="14"/>
        <v>1248.53</v>
      </c>
      <c r="Y140" s="2"/>
      <c r="Z140" s="22">
        <f t="shared" si="15"/>
        <v>0</v>
      </c>
    </row>
    <row r="141" spans="1:26" s="24" customFormat="1" hidden="1" outlineLevel="1" x14ac:dyDescent="0.25">
      <c r="A141" s="51"/>
      <c r="B141" s="11" t="str">
        <f>CONCATENATE("          ", "5581", " - ", "FREIGHT-IN-ELECTRONICS")</f>
        <v xml:space="preserve">          5581 - FREIGHT-IN-ELECTRONICS</v>
      </c>
      <c r="C141" s="11"/>
      <c r="D141" s="2"/>
      <c r="E141" s="2"/>
      <c r="F141" s="22">
        <f t="shared" si="8"/>
        <v>0</v>
      </c>
      <c r="G141" s="2"/>
      <c r="H141" s="2"/>
      <c r="I141" s="2"/>
      <c r="J141" s="22">
        <f t="shared" si="9"/>
        <v>0</v>
      </c>
      <c r="K141" s="2"/>
      <c r="L141" s="2">
        <f t="shared" si="10"/>
        <v>0</v>
      </c>
      <c r="M141" s="2"/>
      <c r="N141" s="22">
        <f t="shared" si="11"/>
        <v>0</v>
      </c>
      <c r="O141" s="11"/>
      <c r="P141" s="2">
        <v>31</v>
      </c>
      <c r="Q141" s="2"/>
      <c r="R141" s="22">
        <f t="shared" si="12"/>
        <v>4.3348240527567985E-6</v>
      </c>
      <c r="S141" s="2"/>
      <c r="T141" s="2"/>
      <c r="U141" s="2"/>
      <c r="V141" s="22">
        <f t="shared" si="13"/>
        <v>0</v>
      </c>
      <c r="W141" s="2"/>
      <c r="X141" s="2">
        <f t="shared" si="14"/>
        <v>31</v>
      </c>
      <c r="Y141" s="2"/>
      <c r="Z141" s="22">
        <f t="shared" si="15"/>
        <v>0</v>
      </c>
    </row>
    <row r="142" spans="1:26" s="24" customFormat="1" hidden="1" outlineLevel="1" x14ac:dyDescent="0.25">
      <c r="A142" s="51"/>
      <c r="B142" s="11" t="str">
        <f>CONCATENATE("          ", "5582", " - ", "FREIGHT-IN-COMPUTER HARDWARE")</f>
        <v xml:space="preserve">          5582 - FREIGHT-IN-COMPUTER HARDWARE</v>
      </c>
      <c r="C142" s="11"/>
      <c r="D142" s="2">
        <v>31</v>
      </c>
      <c r="E142" s="2"/>
      <c r="F142" s="22">
        <f t="shared" si="8"/>
        <v>5.6763007467466592E-5</v>
      </c>
      <c r="G142" s="2"/>
      <c r="H142" s="2"/>
      <c r="I142" s="2"/>
      <c r="J142" s="22">
        <f t="shared" si="9"/>
        <v>0</v>
      </c>
      <c r="K142" s="2"/>
      <c r="L142" s="2">
        <f t="shared" si="10"/>
        <v>31</v>
      </c>
      <c r="M142" s="2"/>
      <c r="N142" s="22">
        <f t="shared" si="11"/>
        <v>0</v>
      </c>
      <c r="O142" s="11"/>
      <c r="P142" s="2">
        <v>125</v>
      </c>
      <c r="Q142" s="2"/>
      <c r="R142" s="22">
        <f t="shared" si="12"/>
        <v>1.7479129244987088E-5</v>
      </c>
      <c r="S142" s="2"/>
      <c r="T142" s="2"/>
      <c r="U142" s="2"/>
      <c r="V142" s="22">
        <f t="shared" si="13"/>
        <v>0</v>
      </c>
      <c r="W142" s="2"/>
      <c r="X142" s="2">
        <f t="shared" si="14"/>
        <v>125</v>
      </c>
      <c r="Y142" s="2"/>
      <c r="Z142" s="22">
        <f t="shared" si="15"/>
        <v>0</v>
      </c>
    </row>
    <row r="143" spans="1:26" s="24" customFormat="1" hidden="1" outlineLevel="1" x14ac:dyDescent="0.25">
      <c r="A143" s="51"/>
      <c r="B143" s="11" t="str">
        <f>CONCATENATE("          ", "5583", " - ", "FREIGHT-IN-COMPUTER EQUIPMENT")</f>
        <v xml:space="preserve">          5583 - FREIGHT-IN-COMPUTER EQUIPMENT</v>
      </c>
      <c r="C143" s="11"/>
      <c r="D143" s="2"/>
      <c r="E143" s="2"/>
      <c r="F143" s="22">
        <f t="shared" si="8"/>
        <v>0</v>
      </c>
      <c r="G143" s="2"/>
      <c r="H143" s="2"/>
      <c r="I143" s="2"/>
      <c r="J143" s="22">
        <f t="shared" si="9"/>
        <v>0</v>
      </c>
      <c r="K143" s="2"/>
      <c r="L143" s="2">
        <f t="shared" si="10"/>
        <v>0</v>
      </c>
      <c r="M143" s="2"/>
      <c r="N143" s="22">
        <f t="shared" si="11"/>
        <v>0</v>
      </c>
      <c r="O143" s="11"/>
      <c r="P143" s="2">
        <v>242.46</v>
      </c>
      <c r="Q143" s="2"/>
      <c r="R143" s="22">
        <f t="shared" si="12"/>
        <v>3.390391741391656E-5</v>
      </c>
      <c r="S143" s="2"/>
      <c r="T143" s="2"/>
      <c r="U143" s="2"/>
      <c r="V143" s="22">
        <f t="shared" si="13"/>
        <v>0</v>
      </c>
      <c r="W143" s="2"/>
      <c r="X143" s="2">
        <f t="shared" si="14"/>
        <v>242.46</v>
      </c>
      <c r="Y143" s="2"/>
      <c r="Z143" s="22">
        <f t="shared" si="15"/>
        <v>0</v>
      </c>
    </row>
    <row r="144" spans="1:26" s="24" customFormat="1" hidden="1" outlineLevel="1" x14ac:dyDescent="0.25">
      <c r="A144" s="51"/>
      <c r="B144" s="11" t="str">
        <f>CONCATENATE("          ", "5586", " - ", "FREIGHT-IN-COMPUTER SUPPLIES")</f>
        <v xml:space="preserve">          5586 - FREIGHT-IN-COMPUTER SUPPLIES</v>
      </c>
      <c r="C144" s="11"/>
      <c r="D144" s="2"/>
      <c r="E144" s="2"/>
      <c r="F144" s="22">
        <f t="shared" si="8"/>
        <v>0</v>
      </c>
      <c r="G144" s="2"/>
      <c r="H144" s="2"/>
      <c r="I144" s="2"/>
      <c r="J144" s="22">
        <f t="shared" si="9"/>
        <v>0</v>
      </c>
      <c r="K144" s="2"/>
      <c r="L144" s="2">
        <f t="shared" si="10"/>
        <v>0</v>
      </c>
      <c r="M144" s="2"/>
      <c r="N144" s="22">
        <f t="shared" si="11"/>
        <v>0</v>
      </c>
      <c r="O144" s="11"/>
      <c r="P144" s="2">
        <v>24.12</v>
      </c>
      <c r="Q144" s="2"/>
      <c r="R144" s="22">
        <f t="shared" si="12"/>
        <v>3.3727727791127089E-6</v>
      </c>
      <c r="S144" s="2"/>
      <c r="T144" s="2"/>
      <c r="U144" s="2"/>
      <c r="V144" s="22">
        <f t="shared" si="13"/>
        <v>0</v>
      </c>
      <c r="W144" s="2"/>
      <c r="X144" s="2">
        <f t="shared" si="14"/>
        <v>24.12</v>
      </c>
      <c r="Y144" s="2"/>
      <c r="Z144" s="22">
        <f t="shared" si="15"/>
        <v>0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10"/>
      <c r="B146" s="25" t="s">
        <v>6</v>
      </c>
      <c r="C146" s="25"/>
      <c r="D146" s="19">
        <f>D12-D99</f>
        <v>190788.35000000009</v>
      </c>
      <c r="E146" s="13"/>
      <c r="F146" s="21">
        <f>IF(D$12=0,0,D146/D$12)</f>
        <v>0.34934582373405276</v>
      </c>
      <c r="G146" s="13"/>
      <c r="H146" s="19">
        <f>H12-H99</f>
        <v>895149</v>
      </c>
      <c r="I146" s="13"/>
      <c r="J146" s="21">
        <f>IF(H$12=0,0,H146/H$12)</f>
        <v>0.58289845710646582</v>
      </c>
      <c r="K146" s="15"/>
      <c r="L146" s="19">
        <f>+D146-H146</f>
        <v>-704360.64999999991</v>
      </c>
      <c r="M146" s="15"/>
      <c r="N146" s="21">
        <f>IF(H146=0,0,L146/H146)</f>
        <v>-0.78686414217074463</v>
      </c>
      <c r="O146" s="26"/>
      <c r="P146" s="19">
        <f>P12-P99</f>
        <v>2651395.7100000028</v>
      </c>
      <c r="Q146" s="13"/>
      <c r="R146" s="21">
        <f>IF(P$12=0,0,P146/P$12)</f>
        <v>0.37075270635755486</v>
      </c>
      <c r="S146" s="13"/>
      <c r="T146" s="19">
        <f>T12-T99</f>
        <v>5966605</v>
      </c>
      <c r="U146" s="13"/>
      <c r="V146" s="21">
        <f>IF(T$12=0,0,T146/T$12)</f>
        <v>0.4717055192645998</v>
      </c>
      <c r="W146" s="15"/>
      <c r="X146" s="19">
        <f>+P146-T146</f>
        <v>-3315209.2899999972</v>
      </c>
      <c r="Y146" s="15"/>
      <c r="Z146" s="21">
        <f>IF(T146=0,0,X146/T146)</f>
        <v>-0.55562741123302062</v>
      </c>
    </row>
    <row r="147" spans="1:26" x14ac:dyDescent="0.25">
      <c r="A147" s="9"/>
      <c r="B147" s="10"/>
      <c r="C147" s="9"/>
      <c r="D147" s="1"/>
      <c r="E147" s="1"/>
      <c r="F147" s="5"/>
      <c r="G147" s="1"/>
      <c r="H147" s="1"/>
      <c r="I147" s="1"/>
      <c r="J147" s="5"/>
      <c r="K147" s="1"/>
      <c r="L147" s="1"/>
      <c r="M147" s="1"/>
      <c r="N147" s="5"/>
      <c r="O147" s="36"/>
      <c r="P147" s="1"/>
      <c r="Q147" s="1"/>
      <c r="R147" s="5"/>
      <c r="S147" s="1"/>
      <c r="T147" s="1"/>
      <c r="U147" s="1"/>
      <c r="V147" s="5"/>
      <c r="W147" s="1"/>
      <c r="X147" s="1"/>
      <c r="Y147" s="1"/>
      <c r="Z147" s="5"/>
    </row>
    <row r="148" spans="1:26" s="23" customFormat="1" x14ac:dyDescent="0.25">
      <c r="A148" s="10"/>
      <c r="B148" s="26" t="s">
        <v>9</v>
      </c>
      <c r="C148" s="10"/>
      <c r="D148" s="20">
        <f>SUM(OSRRefD22x_0)</f>
        <v>615195.79000000015</v>
      </c>
      <c r="E148" s="20"/>
      <c r="F148" s="33">
        <f t="shared" ref="F148:F159" si="16">IF(D$12=0,0,D148/D$12)</f>
        <v>1.1264633297330329</v>
      </c>
      <c r="G148" s="20"/>
      <c r="H148" s="20">
        <f>SUM(OSRRefH22x_0)</f>
        <v>1012375.9411532457</v>
      </c>
      <c r="I148" s="20"/>
      <c r="J148" s="33">
        <f t="shared" ref="J148:J159" si="17">IF(H$12=0,0,H148/H$12)</f>
        <v>0.65923368524115333</v>
      </c>
      <c r="K148" s="4"/>
      <c r="L148" s="20">
        <f t="shared" ref="L148:L159" si="18">+D148-H148</f>
        <v>-397180.15115324559</v>
      </c>
      <c r="M148" s="4"/>
      <c r="N148" s="33">
        <f t="shared" ref="N148:N159" si="19">IF(H148=0,0,L148/H148)</f>
        <v>-0.39232476297372171</v>
      </c>
      <c r="O148" s="10"/>
      <c r="P148" s="20">
        <f>SUM(OSRRefP22x_0)</f>
        <v>5485281.3099999996</v>
      </c>
      <c r="Q148" s="20"/>
      <c r="R148" s="33">
        <f t="shared" ref="R148:R159" si="20">IF(P$12=0,0,P148/P$12)</f>
        <v>0.76702352770081672</v>
      </c>
      <c r="S148" s="20"/>
      <c r="T148" s="20">
        <f>SUM(OSRRefT22x_0)</f>
        <v>7822100.6901746998</v>
      </c>
      <c r="U148" s="20"/>
      <c r="V148" s="33">
        <f t="shared" ref="V148:V159" si="21">IF(T$12=0,0,T148/T$12)</f>
        <v>0.61839657021016836</v>
      </c>
      <c r="W148" s="4"/>
      <c r="X148" s="20">
        <f t="shared" ref="X148:X159" si="22">+P148-T148</f>
        <v>-2336819.3801747002</v>
      </c>
      <c r="Y148" s="4"/>
      <c r="Z148" s="33">
        <f t="shared" ref="Z148:Z159" si="23">IF(T148=0,0,X148/T148)</f>
        <v>-0.29874575548611476</v>
      </c>
    </row>
    <row r="149" spans="1:26" s="28" customFormat="1" outlineLevel="1" collapsed="1" x14ac:dyDescent="0.25">
      <c r="A149" s="29"/>
      <c r="B149" s="14" t="str">
        <f>CONCATENATE("     ","*Benefits                                         ")</f>
        <v xml:space="preserve">     *Benefits                                         </v>
      </c>
      <c r="C149" s="14"/>
      <c r="D149" s="1">
        <f>SUM(OSRRefD22_0x_0)</f>
        <v>145357.65</v>
      </c>
      <c r="E149" s="1"/>
      <c r="F149" s="5">
        <f t="shared" si="16"/>
        <v>0.26615927007752888</v>
      </c>
      <c r="G149" s="1"/>
      <c r="H149" s="1">
        <f>SUM(OSRRefH22_0x_0)</f>
        <v>168672.32326122007</v>
      </c>
      <c r="I149" s="1"/>
      <c r="J149" s="5">
        <f t="shared" si="17"/>
        <v>0.10983516373869402</v>
      </c>
      <c r="K149" s="1"/>
      <c r="L149" s="1">
        <f t="shared" si="18"/>
        <v>-23314.673261220072</v>
      </c>
      <c r="M149" s="1"/>
      <c r="N149" s="5">
        <f t="shared" si="19"/>
        <v>-0.13822465245298732</v>
      </c>
      <c r="O149" s="14"/>
      <c r="P149" s="1">
        <f>SUM(OSRRefP22_0x_0)</f>
        <v>1240061.1199999999</v>
      </c>
      <c r="Q149" s="1"/>
      <c r="R149" s="5">
        <f t="shared" si="20"/>
        <v>0.17340150870530754</v>
      </c>
      <c r="S149" s="1"/>
      <c r="T149" s="1">
        <f>SUM(OSRRefT22_0x_0)</f>
        <v>1425774.7039407247</v>
      </c>
      <c r="U149" s="1"/>
      <c r="V149" s="5">
        <f t="shared" si="21"/>
        <v>0.11271833766047704</v>
      </c>
      <c r="W149" s="1"/>
      <c r="X149" s="1">
        <f t="shared" si="22"/>
        <v>-185713.58394072484</v>
      </c>
      <c r="Y149" s="1"/>
      <c r="Z149" s="5">
        <f t="shared" si="23"/>
        <v>-0.13025450895392357</v>
      </c>
    </row>
    <row r="150" spans="1:26" s="24" customFormat="1" hidden="1" outlineLevel="2" x14ac:dyDescent="0.25">
      <c r="A150" s="27"/>
      <c r="B150" s="11" t="str">
        <f>CONCATENATE("          ", "6111", " - ", "F.I.C.A.")</f>
        <v xml:space="preserve">          6111 - F.I.C.A.</v>
      </c>
      <c r="C150" s="11"/>
      <c r="D150" s="7">
        <v>18392.79</v>
      </c>
      <c r="E150" s="2"/>
      <c r="F150" s="6">
        <f t="shared" si="16"/>
        <v>3.3678389552178868E-2</v>
      </c>
      <c r="G150" s="2"/>
      <c r="H150" s="7">
        <v>20403.634053766149</v>
      </c>
      <c r="I150" s="2"/>
      <c r="J150" s="6">
        <f t="shared" si="17"/>
        <v>1.3286332006520961E-2</v>
      </c>
      <c r="K150" s="2"/>
      <c r="L150" s="7">
        <f t="shared" si="18"/>
        <v>-2010.8440537661481</v>
      </c>
      <c r="M150" s="2"/>
      <c r="N150" s="6">
        <f t="shared" si="19"/>
        <v>-9.8553230687598123E-2</v>
      </c>
      <c r="O150" s="11"/>
      <c r="P150" s="7">
        <v>170766.83</v>
      </c>
      <c r="Q150" s="2"/>
      <c r="R150" s="6">
        <f t="shared" si="20"/>
        <v>2.3878843938613906E-2</v>
      </c>
      <c r="S150" s="2"/>
      <c r="T150" s="7">
        <v>188314.35622721881</v>
      </c>
      <c r="U150" s="2"/>
      <c r="V150" s="6">
        <f t="shared" si="21"/>
        <v>1.48876825580274E-2</v>
      </c>
      <c r="W150" s="2"/>
      <c r="X150" s="7">
        <f t="shared" si="22"/>
        <v>-17547.526227218827</v>
      </c>
      <c r="Y150" s="2"/>
      <c r="Z150" s="6">
        <f t="shared" si="23"/>
        <v>-9.3182094975521157E-2</v>
      </c>
    </row>
    <row r="151" spans="1:26" s="24" customFormat="1" hidden="1" outlineLevel="2" x14ac:dyDescent="0.25">
      <c r="A151" s="27"/>
      <c r="B151" s="11" t="str">
        <f>CONCATENATE("          ", "6112", " - ", "COMPENSATION INSURANCE")</f>
        <v xml:space="preserve">          6112 - COMPENSATION INSURANCE</v>
      </c>
      <c r="C151" s="11"/>
      <c r="D151" s="7">
        <v>7333.96</v>
      </c>
      <c r="E151" s="2"/>
      <c r="F151" s="6">
        <f t="shared" si="16"/>
        <v>1.3428955685358106E-2</v>
      </c>
      <c r="G151" s="2"/>
      <c r="H151" s="7">
        <v>12680.145965838461</v>
      </c>
      <c r="I151" s="2"/>
      <c r="J151" s="6">
        <f t="shared" si="17"/>
        <v>8.2569913158278847E-3</v>
      </c>
      <c r="K151" s="2"/>
      <c r="L151" s="7">
        <f t="shared" si="18"/>
        <v>-5346.185965838461</v>
      </c>
      <c r="M151" s="2"/>
      <c r="N151" s="6">
        <f t="shared" si="19"/>
        <v>-0.42161864541950878</v>
      </c>
      <c r="O151" s="11"/>
      <c r="P151" s="7">
        <v>66487.740000000005</v>
      </c>
      <c r="Q151" s="2"/>
      <c r="R151" s="6">
        <f t="shared" si="20"/>
        <v>9.2971824053367843E-3</v>
      </c>
      <c r="S151" s="2"/>
      <c r="T151" s="7">
        <v>99690.83076038654</v>
      </c>
      <c r="U151" s="2"/>
      <c r="V151" s="6">
        <f t="shared" si="21"/>
        <v>7.8813186208484508E-3</v>
      </c>
      <c r="W151" s="2"/>
      <c r="X151" s="7">
        <f t="shared" si="22"/>
        <v>-33203.090760386534</v>
      </c>
      <c r="Y151" s="2"/>
      <c r="Z151" s="6">
        <f t="shared" si="23"/>
        <v>-0.33306062861681174</v>
      </c>
    </row>
    <row r="152" spans="1:26" s="24" customFormat="1" hidden="1" outlineLevel="2" x14ac:dyDescent="0.25">
      <c r="A152" s="27"/>
      <c r="B152" s="11" t="str">
        <f>CONCATENATE("          ", "6113", " - ", "GROUP INSURANCE")</f>
        <v xml:space="preserve">          6113 - GROUP INSURANCE</v>
      </c>
      <c r="C152" s="11"/>
      <c r="D152" s="7">
        <v>74518.17</v>
      </c>
      <c r="E152" s="2"/>
      <c r="F152" s="6">
        <f t="shared" si="16"/>
        <v>0.13644759484425628</v>
      </c>
      <c r="G152" s="2"/>
      <c r="H152" s="7">
        <v>90074.23076923081</v>
      </c>
      <c r="I152" s="2"/>
      <c r="J152" s="6">
        <f t="shared" si="17"/>
        <v>5.8654067803724723E-2</v>
      </c>
      <c r="K152" s="2"/>
      <c r="L152" s="7">
        <f t="shared" si="18"/>
        <v>-15556.060769230811</v>
      </c>
      <c r="M152" s="2"/>
      <c r="N152" s="6">
        <f t="shared" si="19"/>
        <v>-0.17270267685199853</v>
      </c>
      <c r="O152" s="11"/>
      <c r="P152" s="7">
        <v>600975.82999999996</v>
      </c>
      <c r="Q152" s="2"/>
      <c r="R152" s="6">
        <f t="shared" si="20"/>
        <v>8.4036273645467105E-2</v>
      </c>
      <c r="S152" s="2"/>
      <c r="T152" s="7">
        <v>755103.15384615376</v>
      </c>
      <c r="U152" s="2"/>
      <c r="V152" s="6">
        <f t="shared" si="21"/>
        <v>5.969664914693313E-2</v>
      </c>
      <c r="W152" s="2"/>
      <c r="X152" s="7">
        <f t="shared" si="22"/>
        <v>-154127.3238461538</v>
      </c>
      <c r="Y152" s="2"/>
      <c r="Z152" s="6">
        <f t="shared" si="23"/>
        <v>-0.20411426314550396</v>
      </c>
    </row>
    <row r="153" spans="1:26" s="24" customFormat="1" hidden="1" outlineLevel="2" x14ac:dyDescent="0.25">
      <c r="A153" s="27"/>
      <c r="B153" s="11" t="str">
        <f>CONCATENATE("          ", "6114", " - ", "STATE UNEMPLOYMENT INSURANCE")</f>
        <v xml:space="preserve">          6114 - STATE UNEMPLOYMENT INSURANCE</v>
      </c>
      <c r="C153" s="11"/>
      <c r="D153" s="7">
        <v>739.84</v>
      </c>
      <c r="E153" s="2"/>
      <c r="F153" s="6">
        <f t="shared" si="16"/>
        <v>1.3546949498300157E-3</v>
      </c>
      <c r="G153" s="2"/>
      <c r="H153" s="7">
        <v>1142.9015489999999</v>
      </c>
      <c r="I153" s="2"/>
      <c r="J153" s="6">
        <f t="shared" si="17"/>
        <v>7.4422866979317382E-4</v>
      </c>
      <c r="K153" s="2"/>
      <c r="L153" s="7">
        <f t="shared" si="18"/>
        <v>-403.0615489999999</v>
      </c>
      <c r="M153" s="2"/>
      <c r="N153" s="6">
        <f t="shared" si="19"/>
        <v>-0.35266515243825253</v>
      </c>
      <c r="O153" s="11"/>
      <c r="P153" s="7">
        <v>6806.59</v>
      </c>
      <c r="Q153" s="2"/>
      <c r="R153" s="6">
        <f t="shared" si="20"/>
        <v>9.5178613062109341E-4</v>
      </c>
      <c r="S153" s="2"/>
      <c r="T153" s="7">
        <v>9062.14096685</v>
      </c>
      <c r="U153" s="2"/>
      <c r="V153" s="6">
        <f t="shared" si="21"/>
        <v>7.1643118832518358E-4</v>
      </c>
      <c r="W153" s="2"/>
      <c r="X153" s="7">
        <f t="shared" si="22"/>
        <v>-2255.5509668499999</v>
      </c>
      <c r="Y153" s="2"/>
      <c r="Z153" s="6">
        <f t="shared" si="23"/>
        <v>-0.24889824326293053</v>
      </c>
    </row>
    <row r="154" spans="1:26" s="24" customFormat="1" hidden="1" outlineLevel="2" x14ac:dyDescent="0.25">
      <c r="A154" s="27"/>
      <c r="B154" s="11" t="str">
        <f>CONCATENATE("          ", "6115", " - ", "P.E.R.S.")</f>
        <v xml:space="preserve">          6115 - P.E.R.S.</v>
      </c>
      <c r="C154" s="11"/>
      <c r="D154" s="7">
        <v>13405.85</v>
      </c>
      <c r="E154" s="2"/>
      <c r="F154" s="6">
        <f t="shared" si="16"/>
        <v>2.454697947283023E-2</v>
      </c>
      <c r="G154" s="2"/>
      <c r="H154" s="7">
        <v>12350.504878769239</v>
      </c>
      <c r="I154" s="2"/>
      <c r="J154" s="6">
        <f t="shared" si="17"/>
        <v>8.0423373520167787E-3</v>
      </c>
      <c r="K154" s="2"/>
      <c r="L154" s="7">
        <f t="shared" si="18"/>
        <v>1055.3451212307609</v>
      </c>
      <c r="M154" s="2"/>
      <c r="N154" s="6">
        <f t="shared" si="19"/>
        <v>8.5449553001263931E-2</v>
      </c>
      <c r="O154" s="11"/>
      <c r="P154" s="7">
        <v>128827.09000000001</v>
      </c>
      <c r="Q154" s="2"/>
      <c r="R154" s="6">
        <f t="shared" si="20"/>
        <v>1.8014282850924671E-2</v>
      </c>
      <c r="S154" s="2"/>
      <c r="T154" s="7">
        <v>107820.62899723084</v>
      </c>
      <c r="U154" s="2"/>
      <c r="V154" s="6">
        <f t="shared" si="21"/>
        <v>8.5240410230901058E-3</v>
      </c>
      <c r="W154" s="2"/>
      <c r="X154" s="7">
        <f t="shared" si="22"/>
        <v>21006.461002769167</v>
      </c>
      <c r="Y154" s="2"/>
      <c r="Z154" s="6">
        <f t="shared" si="23"/>
        <v>0.19482784693556809</v>
      </c>
    </row>
    <row r="155" spans="1:26" s="24" customFormat="1" hidden="1" outlineLevel="2" x14ac:dyDescent="0.25">
      <c r="A155" s="27"/>
      <c r="B155" s="11" t="str">
        <f>CONCATENATE("          ", "6116", " - ", "EDUCATIONAL BENEFITS")</f>
        <v xml:space="preserve">          6116 - EDUCATIONAL BENEFITS</v>
      </c>
      <c r="C155" s="11"/>
      <c r="D155" s="7"/>
      <c r="E155" s="2"/>
      <c r="F155" s="6">
        <f t="shared" si="16"/>
        <v>0</v>
      </c>
      <c r="G155" s="2"/>
      <c r="H155" s="7">
        <v>0</v>
      </c>
      <c r="I155" s="2"/>
      <c r="J155" s="6">
        <f t="shared" si="17"/>
        <v>0</v>
      </c>
      <c r="K155" s="2"/>
      <c r="L155" s="7">
        <f t="shared" si="18"/>
        <v>0</v>
      </c>
      <c r="M155" s="2"/>
      <c r="N155" s="6">
        <f t="shared" si="19"/>
        <v>0</v>
      </c>
      <c r="O155" s="11"/>
      <c r="P155" s="7">
        <v>0</v>
      </c>
      <c r="Q155" s="2"/>
      <c r="R155" s="6">
        <f t="shared" si="20"/>
        <v>0</v>
      </c>
      <c r="S155" s="2"/>
      <c r="T155" s="7">
        <v>0</v>
      </c>
      <c r="U155" s="2"/>
      <c r="V155" s="6">
        <f t="shared" si="21"/>
        <v>0</v>
      </c>
      <c r="W155" s="2"/>
      <c r="X155" s="7">
        <f t="shared" si="22"/>
        <v>0</v>
      </c>
      <c r="Y155" s="2"/>
      <c r="Z155" s="6">
        <f t="shared" si="23"/>
        <v>0</v>
      </c>
    </row>
    <row r="156" spans="1:26" s="24" customFormat="1" hidden="1" outlineLevel="2" x14ac:dyDescent="0.25">
      <c r="A156" s="27"/>
      <c r="B156" s="11" t="str">
        <f>CONCATENATE("          ", "6117", " - ", "RETIREMENT STAFF HOURLY")</f>
        <v xml:space="preserve">          6117 - RETIREMENT STAFF HOURLY</v>
      </c>
      <c r="C156" s="11"/>
      <c r="D156" s="7">
        <v>2202.4699999999998</v>
      </c>
      <c r="E156" s="2"/>
      <c r="F156" s="6">
        <f t="shared" si="16"/>
        <v>4.0328651953829399E-3</v>
      </c>
      <c r="G156" s="2"/>
      <c r="H156" s="7"/>
      <c r="I156" s="2"/>
      <c r="J156" s="6">
        <f t="shared" si="17"/>
        <v>0</v>
      </c>
      <c r="K156" s="2"/>
      <c r="L156" s="7">
        <f t="shared" si="18"/>
        <v>2202.4699999999998</v>
      </c>
      <c r="M156" s="2"/>
      <c r="N156" s="6">
        <f t="shared" si="19"/>
        <v>0</v>
      </c>
      <c r="O156" s="11"/>
      <c r="P156" s="7">
        <v>16807.72</v>
      </c>
      <c r="Q156" s="2"/>
      <c r="R156" s="6">
        <f t="shared" si="20"/>
        <v>2.3502744815484355E-3</v>
      </c>
      <c r="S156" s="2"/>
      <c r="T156" s="7"/>
      <c r="U156" s="2"/>
      <c r="V156" s="6">
        <f t="shared" si="21"/>
        <v>0</v>
      </c>
      <c r="W156" s="2"/>
      <c r="X156" s="7">
        <f t="shared" si="22"/>
        <v>16807.72</v>
      </c>
      <c r="Y156" s="2"/>
      <c r="Z156" s="6">
        <f t="shared" si="23"/>
        <v>0</v>
      </c>
    </row>
    <row r="157" spans="1:26" s="24" customFormat="1" hidden="1" outlineLevel="2" x14ac:dyDescent="0.25">
      <c r="A157" s="27"/>
      <c r="B157" s="11" t="str">
        <f>CONCATENATE("          ", "6118", " - ", "VACATION")</f>
        <v xml:space="preserve">          6118 - VACATION</v>
      </c>
      <c r="C157" s="11"/>
      <c r="D157" s="7">
        <v>14515.96</v>
      </c>
      <c r="E157" s="2"/>
      <c r="F157" s="6">
        <f t="shared" si="16"/>
        <v>2.6579662770240205E-2</v>
      </c>
      <c r="G157" s="2"/>
      <c r="H157" s="7">
        <v>13040.83904307693</v>
      </c>
      <c r="I157" s="2"/>
      <c r="J157" s="6">
        <f t="shared" si="17"/>
        <v>8.4918655526435294E-3</v>
      </c>
      <c r="K157" s="2"/>
      <c r="L157" s="7">
        <f t="shared" si="18"/>
        <v>1475.1209569230687</v>
      </c>
      <c r="M157" s="2"/>
      <c r="N157" s="6">
        <f t="shared" si="19"/>
        <v>0.1131154944900708</v>
      </c>
      <c r="O157" s="11"/>
      <c r="P157" s="7">
        <v>126946.87</v>
      </c>
      <c r="Q157" s="2"/>
      <c r="R157" s="6">
        <f t="shared" si="20"/>
        <v>1.7751365983812592E-2</v>
      </c>
      <c r="S157" s="2"/>
      <c r="T157" s="7">
        <v>113757.3830269231</v>
      </c>
      <c r="U157" s="2"/>
      <c r="V157" s="6">
        <f t="shared" si="21"/>
        <v>8.9933865960452782E-3</v>
      </c>
      <c r="W157" s="2"/>
      <c r="X157" s="7">
        <f t="shared" si="22"/>
        <v>13189.486973076899</v>
      </c>
      <c r="Y157" s="2"/>
      <c r="Z157" s="6">
        <f t="shared" si="23"/>
        <v>0.11594400839860501</v>
      </c>
    </row>
    <row r="158" spans="1:26" s="24" customFormat="1" hidden="1" outlineLevel="2" x14ac:dyDescent="0.25">
      <c r="A158" s="27"/>
      <c r="B158" s="11" t="str">
        <f>CONCATENATE("          ", "6119", " - ", "SICK LEAVE")</f>
        <v xml:space="preserve">          6119 - SICK LEAVE</v>
      </c>
      <c r="C158" s="11"/>
      <c r="D158" s="7">
        <v>9922.65</v>
      </c>
      <c r="E158" s="2"/>
      <c r="F158" s="6">
        <f t="shared" si="16"/>
        <v>1.8169014711195398E-2</v>
      </c>
      <c r="G158" s="2"/>
      <c r="H158" s="7">
        <v>12630.067001538457</v>
      </c>
      <c r="I158" s="2"/>
      <c r="J158" s="6">
        <f t="shared" si="17"/>
        <v>8.2243811570454229E-3</v>
      </c>
      <c r="K158" s="2"/>
      <c r="L158" s="7">
        <f t="shared" si="18"/>
        <v>-2707.417001538457</v>
      </c>
      <c r="M158" s="2"/>
      <c r="N158" s="6">
        <f t="shared" si="19"/>
        <v>-0.2143628376008353</v>
      </c>
      <c r="O158" s="11"/>
      <c r="P158" s="7">
        <v>85504.909999999989</v>
      </c>
      <c r="Q158" s="2"/>
      <c r="R158" s="6">
        <f t="shared" si="20"/>
        <v>1.195641098376791E-2</v>
      </c>
      <c r="S158" s="2"/>
      <c r="T158" s="7">
        <v>101226.21011596148</v>
      </c>
      <c r="U158" s="2"/>
      <c r="V158" s="6">
        <f t="shared" si="21"/>
        <v>8.0027020400943415E-3</v>
      </c>
      <c r="W158" s="2"/>
      <c r="X158" s="7">
        <f t="shared" si="22"/>
        <v>-15721.300115961494</v>
      </c>
      <c r="Y158" s="2"/>
      <c r="Z158" s="6">
        <f t="shared" si="23"/>
        <v>-0.15530859149968845</v>
      </c>
    </row>
    <row r="159" spans="1:26" s="24" customFormat="1" hidden="1" outlineLevel="2" x14ac:dyDescent="0.25">
      <c r="A159" s="27"/>
      <c r="B159" s="11" t="str">
        <f>CONCATENATE("          ", "6156", " - ", "EMPLOYEE MEALS")</f>
        <v xml:space="preserve">          6156 - EMPLOYEE MEALS</v>
      </c>
      <c r="C159" s="11"/>
      <c r="D159" s="7">
        <v>4325.96</v>
      </c>
      <c r="E159" s="2"/>
      <c r="F159" s="6">
        <f t="shared" si="16"/>
        <v>7.9211128962568319E-3</v>
      </c>
      <c r="G159" s="2"/>
      <c r="H159" s="7">
        <v>6350</v>
      </c>
      <c r="I159" s="2"/>
      <c r="J159" s="6">
        <f t="shared" si="17"/>
        <v>4.1349598811215313E-3</v>
      </c>
      <c r="K159" s="2"/>
      <c r="L159" s="7">
        <f t="shared" si="18"/>
        <v>-2024.04</v>
      </c>
      <c r="M159" s="2"/>
      <c r="N159" s="6">
        <f t="shared" si="19"/>
        <v>-0.3187464566929134</v>
      </c>
      <c r="O159" s="11"/>
      <c r="P159" s="7">
        <v>36937.539999999994</v>
      </c>
      <c r="Q159" s="2"/>
      <c r="R159" s="6">
        <f t="shared" si="20"/>
        <v>5.1650882852150425E-3</v>
      </c>
      <c r="S159" s="2"/>
      <c r="T159" s="7">
        <v>50800</v>
      </c>
      <c r="U159" s="2"/>
      <c r="V159" s="6">
        <f t="shared" si="21"/>
        <v>4.0161264871131355E-3</v>
      </c>
      <c r="W159" s="2"/>
      <c r="X159" s="7">
        <f t="shared" si="22"/>
        <v>-13862.460000000006</v>
      </c>
      <c r="Y159" s="2"/>
      <c r="Z159" s="6">
        <f t="shared" si="23"/>
        <v>-0.27288307086614189</v>
      </c>
    </row>
    <row r="160" spans="1:26" s="28" customFormat="1" outlineLevel="1" collapsed="1" x14ac:dyDescent="0.25">
      <c r="A160" s="29"/>
      <c r="B160" s="14" t="str">
        <f>CONCATENATE("     ","*Payroll                                          ")</f>
        <v xml:space="preserve">     *Payroll                                          </v>
      </c>
      <c r="C160" s="14"/>
      <c r="D160" s="1">
        <f>SUM(OSRRefD22_1x_0)</f>
        <v>255263.19999999998</v>
      </c>
      <c r="E160" s="1"/>
      <c r="F160" s="5">
        <f t="shared" ref="F160:F170" si="24">IF(D$12=0,0,D160/D$12)</f>
        <v>0.46740344928288446</v>
      </c>
      <c r="G160" s="1"/>
      <c r="H160" s="1">
        <f>SUM(OSRRefH22_1x_0)</f>
        <v>411300.28455869236</v>
      </c>
      <c r="I160" s="1"/>
      <c r="J160" s="5">
        <f t="shared" ref="J160:J170" si="25">IF(H$12=0,0,H160/H$12)</f>
        <v>0.26782837413292326</v>
      </c>
      <c r="K160" s="1"/>
      <c r="L160" s="1">
        <f t="shared" ref="L160:L170" si="26">+D160-H160</f>
        <v>-156037.08455869238</v>
      </c>
      <c r="M160" s="1"/>
      <c r="N160" s="5">
        <f t="shared" ref="N160:N170" si="27">IF(H160=0,0,L160/H160)</f>
        <v>-0.3793750950746691</v>
      </c>
      <c r="O160" s="14"/>
      <c r="P160" s="1">
        <f>SUM(OSRRefP22_1x_0)</f>
        <v>2308023.3099999996</v>
      </c>
      <c r="Q160" s="1"/>
      <c r="R160" s="5">
        <f t="shared" ref="R160:R170" si="28">IF(P$12=0,0,P160/P$12)</f>
        <v>0.32273790188746315</v>
      </c>
      <c r="S160" s="1"/>
      <c r="T160" s="1">
        <f>SUM(OSRRefT22_1x_0)</f>
        <v>3248501.3195673078</v>
      </c>
      <c r="U160" s="1"/>
      <c r="V160" s="5">
        <f t="shared" ref="V160:V170" si="29">IF(T$12=0,0,T160/T$12)</f>
        <v>0.25681874395543774</v>
      </c>
      <c r="W160" s="1"/>
      <c r="X160" s="1">
        <f t="shared" ref="X160:X170" si="30">+P160-T160</f>
        <v>-940478.00956730824</v>
      </c>
      <c r="Y160" s="1"/>
      <c r="Z160" s="5">
        <f t="shared" ref="Z160:Z170" si="31">IF(T160=0,0,X160/T160)</f>
        <v>-0.28951135217410889</v>
      </c>
    </row>
    <row r="161" spans="1:26" s="24" customFormat="1" hidden="1" outlineLevel="2" x14ac:dyDescent="0.25">
      <c r="A161" s="27"/>
      <c r="B161" s="11" t="str">
        <f>CONCATENATE("          ", "6001", " - ", "ADMINISTRATIVE SALARIES")</f>
        <v xml:space="preserve">          6001 - ADMINISTRATIVE SALARIES</v>
      </c>
      <c r="C161" s="11"/>
      <c r="D161" s="7">
        <v>28111.82</v>
      </c>
      <c r="E161" s="2"/>
      <c r="F161" s="6">
        <f t="shared" si="24"/>
        <v>5.1474562857550865E-2</v>
      </c>
      <c r="G161" s="2"/>
      <c r="H161" s="7">
        <v>27028.93076923077</v>
      </c>
      <c r="I161" s="2"/>
      <c r="J161" s="6">
        <f t="shared" si="25"/>
        <v>1.7600558166989067E-2</v>
      </c>
      <c r="K161" s="2"/>
      <c r="L161" s="7">
        <f t="shared" si="26"/>
        <v>1082.8892307692295</v>
      </c>
      <c r="M161" s="2"/>
      <c r="N161" s="6">
        <f t="shared" si="27"/>
        <v>4.006407948633952E-2</v>
      </c>
      <c r="O161" s="11"/>
      <c r="P161" s="7">
        <v>229967.18</v>
      </c>
      <c r="Q161" s="2"/>
      <c r="R161" s="6">
        <f t="shared" si="28"/>
        <v>3.2157008490601678E-2</v>
      </c>
      <c r="S161" s="2"/>
      <c r="T161" s="7">
        <v>236503.14423076919</v>
      </c>
      <c r="U161" s="2"/>
      <c r="V161" s="6">
        <f t="shared" si="29"/>
        <v>1.8697372870683668E-2</v>
      </c>
      <c r="W161" s="2"/>
      <c r="X161" s="7">
        <f t="shared" si="30"/>
        <v>-6535.9642307691975</v>
      </c>
      <c r="Y161" s="2"/>
      <c r="Z161" s="6">
        <f t="shared" si="31"/>
        <v>-2.7635844977991902E-2</v>
      </c>
    </row>
    <row r="162" spans="1:26" s="24" customFormat="1" hidden="1" outlineLevel="2" x14ac:dyDescent="0.25">
      <c r="A162" s="27"/>
      <c r="B162" s="11" t="str">
        <f>CONCATENATE("          ", "6002", " - ", "STAFF SALARIES")</f>
        <v xml:space="preserve">          6002 - STAFF SALARIES</v>
      </c>
      <c r="C162" s="11"/>
      <c r="D162" s="7">
        <v>107681.93</v>
      </c>
      <c r="E162" s="2"/>
      <c r="F162" s="6">
        <f t="shared" si="24"/>
        <v>0.19717258699036178</v>
      </c>
      <c r="G162" s="2"/>
      <c r="H162" s="7">
        <v>102906.63159446155</v>
      </c>
      <c r="I162" s="2"/>
      <c r="J162" s="6">
        <f t="shared" si="25"/>
        <v>6.7010203644795582E-2</v>
      </c>
      <c r="K162" s="2"/>
      <c r="L162" s="7">
        <f t="shared" si="26"/>
        <v>4775.2984055384441</v>
      </c>
      <c r="M162" s="2"/>
      <c r="N162" s="6">
        <f t="shared" si="27"/>
        <v>4.6404185343050831E-2</v>
      </c>
      <c r="O162" s="11"/>
      <c r="P162" s="7">
        <v>904483.07000000007</v>
      </c>
      <c r="Q162" s="2"/>
      <c r="R162" s="6">
        <f t="shared" si="28"/>
        <v>0.12647661184346165</v>
      </c>
      <c r="S162" s="2"/>
      <c r="T162" s="7">
        <v>897998.23040153866</v>
      </c>
      <c r="U162" s="2"/>
      <c r="V162" s="6">
        <f t="shared" si="29"/>
        <v>7.0993592096384714E-2</v>
      </c>
      <c r="W162" s="2"/>
      <c r="X162" s="7">
        <f t="shared" si="30"/>
        <v>6484.8395984614035</v>
      </c>
      <c r="Y162" s="2"/>
      <c r="Z162" s="6">
        <f t="shared" si="31"/>
        <v>7.2214391731726651E-3</v>
      </c>
    </row>
    <row r="163" spans="1:26" s="24" customFormat="1" hidden="1" outlineLevel="2" x14ac:dyDescent="0.25">
      <c r="A163" s="27"/>
      <c r="B163" s="11" t="str">
        <f>CONCATENATE("          ", "6003", " - ", "STAFF HOURLY-9 MONTH")</f>
        <v xml:space="preserve">          6003 - STAFF HOURLY-9 MONTH</v>
      </c>
      <c r="C163" s="11"/>
      <c r="D163" s="7"/>
      <c r="E163" s="2"/>
      <c r="F163" s="6">
        <f t="shared" si="24"/>
        <v>0</v>
      </c>
      <c r="G163" s="2"/>
      <c r="H163" s="7">
        <v>0</v>
      </c>
      <c r="I163" s="2"/>
      <c r="J163" s="6">
        <f t="shared" si="25"/>
        <v>0</v>
      </c>
      <c r="K163" s="2"/>
      <c r="L163" s="7">
        <f t="shared" si="26"/>
        <v>0</v>
      </c>
      <c r="M163" s="2"/>
      <c r="N163" s="6">
        <f t="shared" si="27"/>
        <v>0</v>
      </c>
      <c r="O163" s="11"/>
      <c r="P163" s="7"/>
      <c r="Q163" s="2"/>
      <c r="R163" s="6">
        <f t="shared" si="28"/>
        <v>0</v>
      </c>
      <c r="S163" s="2"/>
      <c r="T163" s="7">
        <v>0</v>
      </c>
      <c r="U163" s="2"/>
      <c r="V163" s="6">
        <f t="shared" si="29"/>
        <v>0</v>
      </c>
      <c r="W163" s="2"/>
      <c r="X163" s="7">
        <f t="shared" si="30"/>
        <v>0</v>
      </c>
      <c r="Y163" s="2"/>
      <c r="Z163" s="6">
        <f t="shared" si="31"/>
        <v>0</v>
      </c>
    </row>
    <row r="164" spans="1:26" s="24" customFormat="1" hidden="1" outlineLevel="2" x14ac:dyDescent="0.25">
      <c r="A164" s="27"/>
      <c r="B164" s="11" t="str">
        <f>CONCATENATE("          ", "6004", " - ", "STAFF HOURLY")</f>
        <v xml:space="preserve">          6004 - STAFF HOURLY</v>
      </c>
      <c r="C164" s="11"/>
      <c r="D164" s="7">
        <v>58536.49</v>
      </c>
      <c r="E164" s="2"/>
      <c r="F164" s="6">
        <f t="shared" si="24"/>
        <v>0.10718410383836399</v>
      </c>
      <c r="G164" s="2"/>
      <c r="H164" s="7">
        <v>113893.4988</v>
      </c>
      <c r="I164" s="2"/>
      <c r="J164" s="6">
        <f t="shared" si="25"/>
        <v>7.4164574528907609E-2</v>
      </c>
      <c r="K164" s="2"/>
      <c r="L164" s="7">
        <f t="shared" si="26"/>
        <v>-55357.008800000003</v>
      </c>
      <c r="M164" s="2"/>
      <c r="N164" s="6">
        <f t="shared" si="27"/>
        <v>-0.48604186703587338</v>
      </c>
      <c r="O164" s="11"/>
      <c r="P164" s="7">
        <v>527621.05999999994</v>
      </c>
      <c r="Q164" s="2"/>
      <c r="R164" s="6">
        <f t="shared" si="28"/>
        <v>7.3778853600936695E-2</v>
      </c>
      <c r="S164" s="2"/>
      <c r="T164" s="7">
        <v>925956.63230000006</v>
      </c>
      <c r="U164" s="2"/>
      <c r="V164" s="6">
        <f t="shared" si="29"/>
        <v>7.3203916474372216E-2</v>
      </c>
      <c r="W164" s="2"/>
      <c r="X164" s="7">
        <f t="shared" si="30"/>
        <v>-398335.57230000012</v>
      </c>
      <c r="Y164" s="2"/>
      <c r="Z164" s="6">
        <f t="shared" si="31"/>
        <v>-0.43018815180422365</v>
      </c>
    </row>
    <row r="165" spans="1:26" s="24" customFormat="1" hidden="1" outlineLevel="2" x14ac:dyDescent="0.25">
      <c r="A165" s="27"/>
      <c r="B165" s="11" t="str">
        <f>CONCATENATE("          ", "6005", " - ", "TEMPORARY WAGES-HOURLY")</f>
        <v xml:space="preserve">          6005 - TEMPORARY WAGES-HOURLY</v>
      </c>
      <c r="C165" s="11"/>
      <c r="D165" s="7">
        <v>28487.8</v>
      </c>
      <c r="E165" s="2"/>
      <c r="F165" s="6">
        <f t="shared" si="24"/>
        <v>5.2163006584893382E-2</v>
      </c>
      <c r="G165" s="2"/>
      <c r="H165" s="7">
        <v>29593.244694999998</v>
      </c>
      <c r="I165" s="2"/>
      <c r="J165" s="6">
        <f t="shared" si="25"/>
        <v>1.9270374734809068E-2</v>
      </c>
      <c r="K165" s="2"/>
      <c r="L165" s="7">
        <f t="shared" si="26"/>
        <v>-1105.4446949999983</v>
      </c>
      <c r="M165" s="2"/>
      <c r="N165" s="6">
        <f t="shared" si="27"/>
        <v>-3.7354629625550036E-2</v>
      </c>
      <c r="O165" s="11"/>
      <c r="P165" s="7">
        <v>259456.95</v>
      </c>
      <c r="Q165" s="2"/>
      <c r="R165" s="6">
        <f t="shared" si="28"/>
        <v>3.6280652500481222E-2</v>
      </c>
      <c r="S165" s="2"/>
      <c r="T165" s="7">
        <v>146136.38401500002</v>
      </c>
      <c r="U165" s="2"/>
      <c r="V165" s="6">
        <f t="shared" si="29"/>
        <v>1.1553192964046815E-2</v>
      </c>
      <c r="W165" s="2"/>
      <c r="X165" s="7">
        <f t="shared" si="30"/>
        <v>113320.56598499999</v>
      </c>
      <c r="Y165" s="2"/>
      <c r="Z165" s="6">
        <f t="shared" si="31"/>
        <v>0.77544388927379182</v>
      </c>
    </row>
    <row r="166" spans="1:26" s="24" customFormat="1" hidden="1" outlineLevel="2" x14ac:dyDescent="0.25">
      <c r="A166" s="27"/>
      <c r="B166" s="11" t="str">
        <f>CONCATENATE("          ", "6006", " - ", "TEMPORARY PART TIME")</f>
        <v xml:space="preserve">          6006 - TEMPORARY PART TIME</v>
      </c>
      <c r="C166" s="11"/>
      <c r="D166" s="7">
        <v>2651.44</v>
      </c>
      <c r="E166" s="2"/>
      <c r="F166" s="6">
        <f t="shared" si="24"/>
        <v>4.8549583393399879E-3</v>
      </c>
      <c r="G166" s="2"/>
      <c r="H166" s="7">
        <v>0</v>
      </c>
      <c r="I166" s="2"/>
      <c r="J166" s="6">
        <f t="shared" si="25"/>
        <v>0</v>
      </c>
      <c r="K166" s="2"/>
      <c r="L166" s="7">
        <f t="shared" si="26"/>
        <v>2651.44</v>
      </c>
      <c r="M166" s="2"/>
      <c r="N166" s="6">
        <f t="shared" si="27"/>
        <v>0</v>
      </c>
      <c r="O166" s="11"/>
      <c r="P166" s="7">
        <v>12639.4</v>
      </c>
      <c r="Q166" s="2"/>
      <c r="R166" s="6">
        <f t="shared" si="28"/>
        <v>1.7674056494327184E-3</v>
      </c>
      <c r="S166" s="2"/>
      <c r="T166" s="7">
        <v>0</v>
      </c>
      <c r="U166" s="2"/>
      <c r="V166" s="6">
        <f t="shared" si="29"/>
        <v>0</v>
      </c>
      <c r="W166" s="2"/>
      <c r="X166" s="7">
        <f t="shared" si="30"/>
        <v>12639.4</v>
      </c>
      <c r="Y166" s="2"/>
      <c r="Z166" s="6">
        <f t="shared" si="31"/>
        <v>0</v>
      </c>
    </row>
    <row r="167" spans="1:26" s="24" customFormat="1" hidden="1" outlineLevel="2" x14ac:dyDescent="0.25">
      <c r="A167" s="27"/>
      <c r="B167" s="11" t="str">
        <f>CONCATENATE("          ", "6007", " - ", "STUDENT HOURLY")</f>
        <v xml:space="preserve">          6007 - STUDENT HOURLY</v>
      </c>
      <c r="C167" s="11"/>
      <c r="D167" s="7">
        <v>28121.279999999999</v>
      </c>
      <c r="E167" s="2"/>
      <c r="F167" s="6">
        <f t="shared" si="24"/>
        <v>5.1491884730152225E-2</v>
      </c>
      <c r="G167" s="2"/>
      <c r="H167" s="7">
        <v>0</v>
      </c>
      <c r="I167" s="2"/>
      <c r="J167" s="6">
        <f t="shared" si="25"/>
        <v>0</v>
      </c>
      <c r="K167" s="2"/>
      <c r="L167" s="7">
        <f t="shared" si="26"/>
        <v>28121.279999999999</v>
      </c>
      <c r="M167" s="2"/>
      <c r="N167" s="6">
        <f t="shared" si="27"/>
        <v>0</v>
      </c>
      <c r="O167" s="11"/>
      <c r="P167" s="7">
        <v>352013.64</v>
      </c>
      <c r="Q167" s="2"/>
      <c r="R167" s="6">
        <f t="shared" si="28"/>
        <v>4.9223135276466858E-2</v>
      </c>
      <c r="S167" s="2"/>
      <c r="T167" s="7">
        <v>195330.11249999999</v>
      </c>
      <c r="U167" s="2"/>
      <c r="V167" s="6">
        <f t="shared" si="29"/>
        <v>1.5442331467362963E-2</v>
      </c>
      <c r="W167" s="2"/>
      <c r="X167" s="7">
        <f t="shared" si="30"/>
        <v>156683.52750000003</v>
      </c>
      <c r="Y167" s="2"/>
      <c r="Z167" s="6">
        <f t="shared" si="31"/>
        <v>0.80214732636269814</v>
      </c>
    </row>
    <row r="168" spans="1:26" s="24" customFormat="1" hidden="1" outlineLevel="2" x14ac:dyDescent="0.25">
      <c r="A168" s="27"/>
      <c r="B168" s="11" t="str">
        <f>CONCATENATE("          ", "6008", " - ", "STUDENT HOURLY-FICA EXEMPT")</f>
        <v xml:space="preserve">          6008 - STUDENT HOURLY-FICA EXEMPT</v>
      </c>
      <c r="C168" s="11"/>
      <c r="D168" s="7">
        <v>1672.44</v>
      </c>
      <c r="E168" s="2"/>
      <c r="F168" s="6">
        <f t="shared" si="24"/>
        <v>3.0623459422222526E-3</v>
      </c>
      <c r="G168" s="2"/>
      <c r="H168" s="7">
        <v>137877.97870000001</v>
      </c>
      <c r="I168" s="2"/>
      <c r="J168" s="6">
        <f t="shared" si="25"/>
        <v>8.9782663057421899E-2</v>
      </c>
      <c r="K168" s="2"/>
      <c r="L168" s="7">
        <f t="shared" si="26"/>
        <v>-136205.5387</v>
      </c>
      <c r="M168" s="2"/>
      <c r="N168" s="6">
        <f t="shared" si="27"/>
        <v>-0.98787014419729091</v>
      </c>
      <c r="O168" s="11"/>
      <c r="P168" s="7">
        <v>21842.01</v>
      </c>
      <c r="Q168" s="2"/>
      <c r="R168" s="6">
        <f t="shared" si="28"/>
        <v>3.0542345260824032E-3</v>
      </c>
      <c r="S168" s="2"/>
      <c r="T168" s="7">
        <v>846576.81611999997</v>
      </c>
      <c r="U168" s="2"/>
      <c r="V168" s="6">
        <f t="shared" si="29"/>
        <v>6.6928338082587371E-2</v>
      </c>
      <c r="W168" s="2"/>
      <c r="X168" s="7">
        <f t="shared" si="30"/>
        <v>-824734.80611999996</v>
      </c>
      <c r="Y168" s="2"/>
      <c r="Z168" s="6">
        <f t="shared" si="31"/>
        <v>-0.97419961238708908</v>
      </c>
    </row>
    <row r="169" spans="1:26" s="24" customFormat="1" hidden="1" outlineLevel="2" x14ac:dyDescent="0.25">
      <c r="A169" s="27"/>
      <c r="B169" s="11" t="str">
        <f>CONCATENATE("          ", "6009", " - ", "TEMPORARY-SEASONAL")</f>
        <v xml:space="preserve">          6009 - TEMPORARY-SEASONAL</v>
      </c>
      <c r="C169" s="11"/>
      <c r="D169" s="7"/>
      <c r="E169" s="2"/>
      <c r="F169" s="6">
        <f t="shared" si="24"/>
        <v>0</v>
      </c>
      <c r="G169" s="2"/>
      <c r="H169" s="7">
        <v>0</v>
      </c>
      <c r="I169" s="2"/>
      <c r="J169" s="6">
        <f t="shared" si="25"/>
        <v>0</v>
      </c>
      <c r="K169" s="2"/>
      <c r="L169" s="7">
        <f t="shared" si="26"/>
        <v>0</v>
      </c>
      <c r="M169" s="2"/>
      <c r="N169" s="6">
        <f t="shared" si="27"/>
        <v>0</v>
      </c>
      <c r="O169" s="11"/>
      <c r="P169" s="7"/>
      <c r="Q169" s="2"/>
      <c r="R169" s="6">
        <f t="shared" si="28"/>
        <v>0</v>
      </c>
      <c r="S169" s="2"/>
      <c r="T169" s="7">
        <v>0</v>
      </c>
      <c r="U169" s="2"/>
      <c r="V169" s="6">
        <f t="shared" si="29"/>
        <v>0</v>
      </c>
      <c r="W169" s="2"/>
      <c r="X169" s="7">
        <f t="shared" si="30"/>
        <v>0</v>
      </c>
      <c r="Y169" s="2"/>
      <c r="Z169" s="6">
        <f t="shared" si="31"/>
        <v>0</v>
      </c>
    </row>
    <row r="170" spans="1:26" s="24" customFormat="1" hidden="1" outlineLevel="2" x14ac:dyDescent="0.25">
      <c r="A170" s="27"/>
      <c r="B170" s="11" t="str">
        <f>CONCATENATE("          ", "6010", " - ", "GRATUITY")</f>
        <v xml:space="preserve">          6010 - GRATUITY</v>
      </c>
      <c r="C170" s="11"/>
      <c r="D170" s="7"/>
      <c r="E170" s="2"/>
      <c r="F170" s="6">
        <f t="shared" si="24"/>
        <v>0</v>
      </c>
      <c r="G170" s="2"/>
      <c r="H170" s="7">
        <v>0</v>
      </c>
      <c r="I170" s="2"/>
      <c r="J170" s="6">
        <f t="shared" si="25"/>
        <v>0</v>
      </c>
      <c r="K170" s="2"/>
      <c r="L170" s="7">
        <f t="shared" si="26"/>
        <v>0</v>
      </c>
      <c r="M170" s="2"/>
      <c r="N170" s="6">
        <f t="shared" si="27"/>
        <v>0</v>
      </c>
      <c r="O170" s="11"/>
      <c r="P170" s="7"/>
      <c r="Q170" s="2"/>
      <c r="R170" s="6">
        <f t="shared" si="28"/>
        <v>0</v>
      </c>
      <c r="S170" s="2"/>
      <c r="T170" s="7">
        <v>0</v>
      </c>
      <c r="U170" s="2"/>
      <c r="V170" s="6">
        <f t="shared" si="29"/>
        <v>0</v>
      </c>
      <c r="W170" s="2"/>
      <c r="X170" s="7">
        <f t="shared" si="30"/>
        <v>0</v>
      </c>
      <c r="Y170" s="2"/>
      <c r="Z170" s="6">
        <f t="shared" si="31"/>
        <v>0</v>
      </c>
    </row>
    <row r="171" spans="1:26" s="28" customFormat="1" outlineLevel="1" collapsed="1" x14ac:dyDescent="0.25">
      <c r="A171" s="29"/>
      <c r="B171" s="14" t="str">
        <f>CONCATENATE("     ","Advertising/Promo                                 ")</f>
        <v xml:space="preserve">     Advertising/Promo                                 </v>
      </c>
      <c r="C171" s="14"/>
      <c r="D171" s="1">
        <f>SUM(OSRRefD22_2x_0)</f>
        <v>193.13</v>
      </c>
      <c r="E171" s="1"/>
      <c r="F171" s="5">
        <f t="shared" ref="F171:F175" si="32">IF(D$12=0,0,D171/D$12)</f>
        <v>3.5363353652231687E-4</v>
      </c>
      <c r="G171" s="1"/>
      <c r="H171" s="1">
        <f>SUM(OSRRefH22_2x_0)</f>
        <v>3864</v>
      </c>
      <c r="I171" s="1"/>
      <c r="J171" s="5">
        <f t="shared" ref="J171:J175" si="33">IF(H$12=0,0,H171/H$12)</f>
        <v>2.5161393670320624E-3</v>
      </c>
      <c r="K171" s="1"/>
      <c r="L171" s="1">
        <f t="shared" ref="L171:L175" si="34">+D171-H171</f>
        <v>-3670.87</v>
      </c>
      <c r="M171" s="1"/>
      <c r="N171" s="5">
        <f t="shared" ref="N171:N175" si="35">IF(H171=0,0,L171/H171)</f>
        <v>-0.95001811594202901</v>
      </c>
      <c r="O171" s="14"/>
      <c r="P171" s="1">
        <f>SUM(OSRRefP22_2x_0)</f>
        <v>18410.72</v>
      </c>
      <c r="Q171" s="1"/>
      <c r="R171" s="5">
        <f t="shared" ref="R171:R175" si="36">IF(P$12=0,0,P171/P$12)</f>
        <v>2.57442683498615E-3</v>
      </c>
      <c r="S171" s="1"/>
      <c r="T171" s="1">
        <f>SUM(OSRRefT22_2x_0)</f>
        <v>28920</v>
      </c>
      <c r="U171" s="1"/>
      <c r="V171" s="5">
        <f t="shared" ref="V171:V175" si="37">IF(T$12=0,0,T171/T$12)</f>
        <v>2.2863460237659821E-3</v>
      </c>
      <c r="W171" s="1"/>
      <c r="X171" s="1">
        <f t="shared" ref="X171:X175" si="38">+P171-T171</f>
        <v>-10509.279999999999</v>
      </c>
      <c r="Y171" s="1"/>
      <c r="Z171" s="5">
        <f t="shared" ref="Z171:Z175" si="39">IF(T171=0,0,X171/T171)</f>
        <v>-0.36339142461964036</v>
      </c>
    </row>
    <row r="172" spans="1:26" s="24" customFormat="1" hidden="1" outlineLevel="2" x14ac:dyDescent="0.25">
      <c r="A172" s="27"/>
      <c r="B172" s="11" t="str">
        <f>CONCATENATE("          ", "6362", " - ", "ADVERTISING EXPENSE")</f>
        <v xml:space="preserve">          6362 - ADVERTISING EXPENSE</v>
      </c>
      <c r="C172" s="11"/>
      <c r="D172" s="7">
        <v>193.13</v>
      </c>
      <c r="E172" s="2"/>
      <c r="F172" s="6">
        <f t="shared" si="32"/>
        <v>3.5363353652231687E-4</v>
      </c>
      <c r="G172" s="2"/>
      <c r="H172" s="7">
        <v>3864</v>
      </c>
      <c r="I172" s="2"/>
      <c r="J172" s="6">
        <f t="shared" si="33"/>
        <v>2.5161393670320624E-3</v>
      </c>
      <c r="K172" s="2"/>
      <c r="L172" s="7">
        <f t="shared" si="34"/>
        <v>-3670.87</v>
      </c>
      <c r="M172" s="2"/>
      <c r="N172" s="6">
        <f t="shared" si="35"/>
        <v>-0.95001811594202901</v>
      </c>
      <c r="O172" s="11"/>
      <c r="P172" s="7">
        <v>18410.72</v>
      </c>
      <c r="Q172" s="2"/>
      <c r="R172" s="6">
        <f t="shared" si="36"/>
        <v>2.57442683498615E-3</v>
      </c>
      <c r="S172" s="2"/>
      <c r="T172" s="7">
        <v>28920</v>
      </c>
      <c r="U172" s="2"/>
      <c r="V172" s="6">
        <f t="shared" si="37"/>
        <v>2.2863460237659821E-3</v>
      </c>
      <c r="W172" s="2"/>
      <c r="X172" s="7">
        <f t="shared" si="38"/>
        <v>-10509.279999999999</v>
      </c>
      <c r="Y172" s="2"/>
      <c r="Z172" s="6">
        <f t="shared" si="39"/>
        <v>-0.36339142461964036</v>
      </c>
    </row>
    <row r="173" spans="1:26" s="28" customFormat="1" outlineLevel="1" collapsed="1" x14ac:dyDescent="0.25">
      <c r="A173" s="29"/>
      <c r="B173" s="14" t="str">
        <f>CONCATENATE("     ","Bad Debts/Over/Short                              ")</f>
        <v xml:space="preserve">     Bad Debts/Over/Short                              </v>
      </c>
      <c r="C173" s="14"/>
      <c r="D173" s="1">
        <f>SUM(OSRRefD22_3x_0)</f>
        <v>3266.2</v>
      </c>
      <c r="E173" s="1"/>
      <c r="F173" s="5">
        <f t="shared" si="32"/>
        <v>5.9806237093625609E-3</v>
      </c>
      <c r="G173" s="1"/>
      <c r="H173" s="1">
        <f>SUM(OSRRefH22_3x_0)</f>
        <v>151</v>
      </c>
      <c r="I173" s="1"/>
      <c r="J173" s="5">
        <f t="shared" si="33"/>
        <v>9.8327392448716735E-5</v>
      </c>
      <c r="K173" s="1"/>
      <c r="L173" s="1">
        <f t="shared" si="34"/>
        <v>3115.2</v>
      </c>
      <c r="M173" s="1"/>
      <c r="N173" s="5">
        <f t="shared" si="35"/>
        <v>20.630463576158938</v>
      </c>
      <c r="O173" s="14"/>
      <c r="P173" s="1">
        <f>SUM(OSRRefP22_3x_0)</f>
        <v>5266.1</v>
      </c>
      <c r="Q173" s="1"/>
      <c r="R173" s="5">
        <f t="shared" si="36"/>
        <v>7.3637474013621212E-4</v>
      </c>
      <c r="S173" s="1"/>
      <c r="T173" s="1">
        <f>SUM(OSRRefT22_3x_0)</f>
        <v>1246</v>
      </c>
      <c r="U173" s="1"/>
      <c r="V173" s="5">
        <f t="shared" si="37"/>
        <v>9.8505779585491478E-5</v>
      </c>
      <c r="W173" s="1"/>
      <c r="X173" s="1">
        <f t="shared" si="38"/>
        <v>4020.1000000000004</v>
      </c>
      <c r="Y173" s="1"/>
      <c r="Z173" s="5">
        <f t="shared" si="39"/>
        <v>3.2264044943820229</v>
      </c>
    </row>
    <row r="174" spans="1:26" s="24" customFormat="1" hidden="1" outlineLevel="2" x14ac:dyDescent="0.25">
      <c r="A174" s="27"/>
      <c r="B174" s="11" t="str">
        <f>CONCATENATE("          ", "6272", " - ", "CASH (OVER/SHORT)")</f>
        <v xml:space="preserve">          6272 - CASH (OVER/SHORT)</v>
      </c>
      <c r="C174" s="11"/>
      <c r="D174" s="7">
        <v>-86.44</v>
      </c>
      <c r="E174" s="2"/>
      <c r="F174" s="6">
        <f t="shared" si="32"/>
        <v>-1.5827723759638104E-4</v>
      </c>
      <c r="G174" s="2"/>
      <c r="H174" s="7">
        <v>101</v>
      </c>
      <c r="I174" s="2"/>
      <c r="J174" s="6">
        <f t="shared" si="33"/>
        <v>6.576865322728735E-5</v>
      </c>
      <c r="K174" s="2"/>
      <c r="L174" s="7">
        <f t="shared" si="34"/>
        <v>-187.44</v>
      </c>
      <c r="M174" s="2"/>
      <c r="N174" s="6">
        <f t="shared" si="35"/>
        <v>-1.8558415841584157</v>
      </c>
      <c r="O174" s="11"/>
      <c r="P174" s="7">
        <v>-83.32</v>
      </c>
      <c r="Q174" s="2"/>
      <c r="R174" s="6">
        <f t="shared" si="36"/>
        <v>-1.1650888389538593E-5</v>
      </c>
      <c r="S174" s="2"/>
      <c r="T174" s="7">
        <v>846</v>
      </c>
      <c r="U174" s="2"/>
      <c r="V174" s="6">
        <f t="shared" si="37"/>
        <v>6.6882736379876239E-5</v>
      </c>
      <c r="W174" s="2"/>
      <c r="X174" s="7">
        <f t="shared" si="38"/>
        <v>-929.31999999999994</v>
      </c>
      <c r="Y174" s="2"/>
      <c r="Z174" s="6">
        <f t="shared" si="39"/>
        <v>-1.0984869976359337</v>
      </c>
    </row>
    <row r="175" spans="1:26" s="24" customFormat="1" hidden="1" outlineLevel="2" x14ac:dyDescent="0.25">
      <c r="A175" s="27"/>
      <c r="B175" s="11" t="str">
        <f>CONCATENATE("          ", "6342", " - ", "BAD DEBT")</f>
        <v xml:space="preserve">          6342 - BAD DEBT</v>
      </c>
      <c r="C175" s="11"/>
      <c r="D175" s="7">
        <v>3352.64</v>
      </c>
      <c r="E175" s="2"/>
      <c r="F175" s="6">
        <f t="shared" si="32"/>
        <v>6.1389009469589419E-3</v>
      </c>
      <c r="G175" s="2"/>
      <c r="H175" s="7">
        <v>50</v>
      </c>
      <c r="I175" s="2"/>
      <c r="J175" s="6">
        <f t="shared" si="33"/>
        <v>3.2558739221429378E-5</v>
      </c>
      <c r="K175" s="2"/>
      <c r="L175" s="7">
        <f t="shared" si="34"/>
        <v>3302.64</v>
      </c>
      <c r="M175" s="2"/>
      <c r="N175" s="6">
        <f t="shared" si="35"/>
        <v>66.052799999999991</v>
      </c>
      <c r="O175" s="11"/>
      <c r="P175" s="7">
        <v>5349.42</v>
      </c>
      <c r="Q175" s="2"/>
      <c r="R175" s="6">
        <f t="shared" si="36"/>
        <v>7.4802562852575069E-4</v>
      </c>
      <c r="S175" s="2"/>
      <c r="T175" s="7">
        <v>400</v>
      </c>
      <c r="U175" s="2"/>
      <c r="V175" s="6">
        <f t="shared" si="37"/>
        <v>3.1623043205615238E-5</v>
      </c>
      <c r="W175" s="2"/>
      <c r="X175" s="7">
        <f t="shared" si="38"/>
        <v>4949.42</v>
      </c>
      <c r="Y175" s="2"/>
      <c r="Z175" s="6">
        <f t="shared" si="39"/>
        <v>12.37355</v>
      </c>
    </row>
    <row r="176" spans="1:26" s="28" customFormat="1" outlineLevel="1" collapsed="1" x14ac:dyDescent="0.25">
      <c r="A176" s="29"/>
      <c r="B176" s="14" t="str">
        <f>CONCATENATE("     ","Bank/card Fees                                    ")</f>
        <v xml:space="preserve">     Bank/card Fees                                    </v>
      </c>
      <c r="C176" s="14"/>
      <c r="D176" s="1">
        <f>SUM(OSRRefD22_4x_0)</f>
        <v>4877.83</v>
      </c>
      <c r="E176" s="1"/>
      <c r="F176" s="5">
        <f t="shared" ref="F176:F181" si="40">IF(D$12=0,0,D176/D$12)</f>
        <v>8.9316226037107291E-3</v>
      </c>
      <c r="G176" s="1"/>
      <c r="H176" s="1">
        <f>SUM(OSRRefH22_4x_0)</f>
        <v>28655</v>
      </c>
      <c r="I176" s="1"/>
      <c r="J176" s="5">
        <f t="shared" ref="J176:J181" si="41">IF(H$12=0,0,H176/H$12)</f>
        <v>1.8659413447801178E-2</v>
      </c>
      <c r="K176" s="1"/>
      <c r="L176" s="1">
        <f t="shared" ref="L176:L181" si="42">+D176-H176</f>
        <v>-23777.17</v>
      </c>
      <c r="M176" s="1"/>
      <c r="N176" s="5">
        <f t="shared" ref="N176:N181" si="43">IF(H176=0,0,L176/H176)</f>
        <v>-0.82977386145524334</v>
      </c>
      <c r="O176" s="14"/>
      <c r="P176" s="1">
        <f>SUM(OSRRefP22_4x_0)</f>
        <v>72469.509999999995</v>
      </c>
      <c r="Q176" s="1"/>
      <c r="R176" s="5">
        <f t="shared" ref="R176:R181" si="44">IF(P$12=0,0,P176/P$12)</f>
        <v>1.0133631452887074E-2</v>
      </c>
      <c r="S176" s="1"/>
      <c r="T176" s="1">
        <f>SUM(OSRRefT22_4x_0)</f>
        <v>226197</v>
      </c>
      <c r="U176" s="1"/>
      <c r="V176" s="5">
        <f t="shared" ref="V176:V181" si="45">IF(T$12=0,0,T176/T$12)</f>
        <v>1.7882593759951375E-2</v>
      </c>
      <c r="W176" s="1"/>
      <c r="X176" s="1">
        <f t="shared" ref="X176:X181" si="46">+P176-T176</f>
        <v>-153727.49</v>
      </c>
      <c r="Y176" s="1"/>
      <c r="Z176" s="5">
        <f t="shared" ref="Z176:Z181" si="47">IF(T176=0,0,X176/T176)</f>
        <v>-0.67961772260463216</v>
      </c>
    </row>
    <row r="177" spans="1:26" s="24" customFormat="1" hidden="1" outlineLevel="2" x14ac:dyDescent="0.25">
      <c r="A177" s="27"/>
      <c r="B177" s="11" t="str">
        <f>CONCATENATE("          ", "6381", " - ", "BANK/CREDIT CARD FEES")</f>
        <v xml:space="preserve">          6381 - BANK/CREDIT CARD FEES</v>
      </c>
      <c r="C177" s="11"/>
      <c r="D177" s="7">
        <v>4877.83</v>
      </c>
      <c r="E177" s="2"/>
      <c r="F177" s="6">
        <f t="shared" si="40"/>
        <v>8.9316226037107291E-3</v>
      </c>
      <c r="G177" s="2"/>
      <c r="H177" s="7">
        <v>28655</v>
      </c>
      <c r="I177" s="2"/>
      <c r="J177" s="6">
        <f t="shared" si="41"/>
        <v>1.8659413447801178E-2</v>
      </c>
      <c r="K177" s="2"/>
      <c r="L177" s="7">
        <f t="shared" si="42"/>
        <v>-23777.17</v>
      </c>
      <c r="M177" s="2"/>
      <c r="N177" s="6">
        <f t="shared" si="43"/>
        <v>-0.82977386145524334</v>
      </c>
      <c r="O177" s="11"/>
      <c r="P177" s="7">
        <v>72469.509999999995</v>
      </c>
      <c r="Q177" s="2"/>
      <c r="R177" s="6">
        <f t="shared" si="44"/>
        <v>1.0133631452887074E-2</v>
      </c>
      <c r="S177" s="2"/>
      <c r="T177" s="7">
        <v>226197</v>
      </c>
      <c r="U177" s="2"/>
      <c r="V177" s="6">
        <f t="shared" si="45"/>
        <v>1.7882593759951375E-2</v>
      </c>
      <c r="W177" s="2"/>
      <c r="X177" s="7">
        <f t="shared" si="46"/>
        <v>-153727.49</v>
      </c>
      <c r="Y177" s="2"/>
      <c r="Z177" s="6">
        <f t="shared" si="47"/>
        <v>-0.67961772260463216</v>
      </c>
    </row>
    <row r="178" spans="1:26" s="28" customFormat="1" outlineLevel="1" collapsed="1" x14ac:dyDescent="0.25">
      <c r="A178" s="29"/>
      <c r="B178" s="14" t="str">
        <f>CONCATENATE("     ","Depreciation                                      ")</f>
        <v xml:space="preserve">     Depreciation                                      </v>
      </c>
      <c r="C178" s="14"/>
      <c r="D178" s="1">
        <f>SUM(OSRRefD22_5x_0)</f>
        <v>77647.64</v>
      </c>
      <c r="E178" s="1"/>
      <c r="F178" s="5">
        <f t="shared" si="40"/>
        <v>0.14217785706939218</v>
      </c>
      <c r="G178" s="1"/>
      <c r="H178" s="1">
        <f>SUM(OSRRefH22_5x_0)</f>
        <v>77087</v>
      </c>
      <c r="I178" s="1"/>
      <c r="J178" s="5">
        <f t="shared" si="41"/>
        <v>5.0197110607246534E-2</v>
      </c>
      <c r="K178" s="1"/>
      <c r="L178" s="1">
        <f t="shared" si="42"/>
        <v>560.63999999999942</v>
      </c>
      <c r="M178" s="1"/>
      <c r="N178" s="5">
        <f t="shared" si="43"/>
        <v>7.2728216171338801E-3</v>
      </c>
      <c r="O178" s="14"/>
      <c r="P178" s="1">
        <f>SUM(OSRRefP22_5x_0)</f>
        <v>623952.97</v>
      </c>
      <c r="Q178" s="1"/>
      <c r="R178" s="5">
        <f t="shared" si="44"/>
        <v>8.7249236843388409E-2</v>
      </c>
      <c r="S178" s="1"/>
      <c r="T178" s="1">
        <f>SUM(OSRRefT22_5x_0)</f>
        <v>620756</v>
      </c>
      <c r="U178" s="1"/>
      <c r="V178" s="5">
        <f t="shared" si="45"/>
        <v>4.9075484520362235E-2</v>
      </c>
      <c r="W178" s="1"/>
      <c r="X178" s="1">
        <f t="shared" si="46"/>
        <v>3196.9699999999721</v>
      </c>
      <c r="Y178" s="1"/>
      <c r="Z178" s="5">
        <f t="shared" si="47"/>
        <v>5.1501233979211998E-3</v>
      </c>
    </row>
    <row r="179" spans="1:26" s="24" customFormat="1" hidden="1" outlineLevel="2" x14ac:dyDescent="0.25">
      <c r="A179" s="27"/>
      <c r="B179" s="11" t="str">
        <f>CONCATENATE("          ", "6321", " - ", "BUILDING DEPRECIATION")</f>
        <v xml:space="preserve">          6321 - BUILDING DEPRECIATION</v>
      </c>
      <c r="C179" s="11"/>
      <c r="D179" s="7">
        <v>45060.52</v>
      </c>
      <c r="E179" s="2"/>
      <c r="F179" s="6">
        <f t="shared" si="40"/>
        <v>8.250873010477186E-2</v>
      </c>
      <c r="G179" s="2"/>
      <c r="H179" s="7"/>
      <c r="I179" s="2"/>
      <c r="J179" s="6">
        <f t="shared" si="41"/>
        <v>0</v>
      </c>
      <c r="K179" s="2"/>
      <c r="L179" s="7">
        <f t="shared" si="42"/>
        <v>45060.52</v>
      </c>
      <c r="M179" s="2"/>
      <c r="N179" s="6">
        <f t="shared" si="43"/>
        <v>0</v>
      </c>
      <c r="O179" s="11"/>
      <c r="P179" s="7">
        <v>361268.35</v>
      </c>
      <c r="Q179" s="2"/>
      <c r="R179" s="6">
        <f t="shared" si="44"/>
        <v>5.0517249454185849E-2</v>
      </c>
      <c r="S179" s="2"/>
      <c r="T179" s="7"/>
      <c r="U179" s="2"/>
      <c r="V179" s="6">
        <f t="shared" si="45"/>
        <v>0</v>
      </c>
      <c r="W179" s="2"/>
      <c r="X179" s="7">
        <f t="shared" si="46"/>
        <v>361268.35</v>
      </c>
      <c r="Y179" s="2"/>
      <c r="Z179" s="6">
        <f t="shared" si="47"/>
        <v>0</v>
      </c>
    </row>
    <row r="180" spans="1:26" s="24" customFormat="1" hidden="1" outlineLevel="2" x14ac:dyDescent="0.25">
      <c r="A180" s="27"/>
      <c r="B180" s="11" t="str">
        <f>CONCATENATE("          ", "6322", " - ", "EQUIPMENT DEPRECIATION EXPENSE")</f>
        <v xml:space="preserve">          6322 - EQUIPMENT DEPRECIATION EXPENSE</v>
      </c>
      <c r="C180" s="11"/>
      <c r="D180" s="7">
        <v>32587.119999999999</v>
      </c>
      <c r="E180" s="2"/>
      <c r="F180" s="6">
        <f t="shared" si="40"/>
        <v>5.9669126964620324E-2</v>
      </c>
      <c r="G180" s="2"/>
      <c r="H180" s="7">
        <v>76537</v>
      </c>
      <c r="I180" s="2"/>
      <c r="J180" s="6">
        <f t="shared" si="41"/>
        <v>4.9838964475810807E-2</v>
      </c>
      <c r="K180" s="2"/>
      <c r="L180" s="7">
        <f t="shared" si="42"/>
        <v>-43949.880000000005</v>
      </c>
      <c r="M180" s="2"/>
      <c r="N180" s="6">
        <f t="shared" si="43"/>
        <v>-0.57423050289402522</v>
      </c>
      <c r="O180" s="11"/>
      <c r="P180" s="7">
        <v>262684.62</v>
      </c>
      <c r="Q180" s="2"/>
      <c r="R180" s="6">
        <f t="shared" si="44"/>
        <v>3.673198738920256E-2</v>
      </c>
      <c r="S180" s="2"/>
      <c r="T180" s="7">
        <v>616356</v>
      </c>
      <c r="U180" s="2"/>
      <c r="V180" s="6">
        <f t="shared" si="45"/>
        <v>4.8727631045100465E-2</v>
      </c>
      <c r="W180" s="2"/>
      <c r="X180" s="7">
        <f t="shared" si="46"/>
        <v>-353671.38</v>
      </c>
      <c r="Y180" s="2"/>
      <c r="Z180" s="6">
        <f t="shared" si="47"/>
        <v>-0.57381023304713508</v>
      </c>
    </row>
    <row r="181" spans="1:26" s="24" customFormat="1" hidden="1" outlineLevel="2" x14ac:dyDescent="0.25">
      <c r="A181" s="27"/>
      <c r="B181" s="11" t="str">
        <f>CONCATENATE("          ", "6326", " - ", "VEHICLES DEPRECIATION EXPENSE")</f>
        <v xml:space="preserve">          6326 - VEHICLES DEPRECIATION EXPENSE</v>
      </c>
      <c r="C181" s="11"/>
      <c r="D181" s="7"/>
      <c r="E181" s="2"/>
      <c r="F181" s="6">
        <f t="shared" si="40"/>
        <v>0</v>
      </c>
      <c r="G181" s="2"/>
      <c r="H181" s="7">
        <v>550</v>
      </c>
      <c r="I181" s="2"/>
      <c r="J181" s="6">
        <f t="shared" si="41"/>
        <v>3.581461314357232E-4</v>
      </c>
      <c r="K181" s="2"/>
      <c r="L181" s="7">
        <f t="shared" si="42"/>
        <v>-550</v>
      </c>
      <c r="M181" s="2"/>
      <c r="N181" s="6">
        <f t="shared" si="43"/>
        <v>-1</v>
      </c>
      <c r="O181" s="11"/>
      <c r="P181" s="7"/>
      <c r="Q181" s="2"/>
      <c r="R181" s="6">
        <f t="shared" si="44"/>
        <v>0</v>
      </c>
      <c r="S181" s="2"/>
      <c r="T181" s="7">
        <v>4400</v>
      </c>
      <c r="U181" s="2"/>
      <c r="V181" s="6">
        <f t="shared" si="45"/>
        <v>3.4785347526176762E-4</v>
      </c>
      <c r="W181" s="2"/>
      <c r="X181" s="7">
        <f t="shared" si="46"/>
        <v>-4400</v>
      </c>
      <c r="Y181" s="2"/>
      <c r="Z181" s="6">
        <f t="shared" si="47"/>
        <v>-1</v>
      </c>
    </row>
    <row r="182" spans="1:26" s="28" customFormat="1" outlineLevel="1" collapsed="1" x14ac:dyDescent="0.25">
      <c r="A182" s="29"/>
      <c r="B182" s="14" t="str">
        <f>CONCATENATE("     ","Discounts and Markdowns                           ")</f>
        <v xml:space="preserve">     Discounts and Markdowns                           </v>
      </c>
      <c r="C182" s="14"/>
      <c r="D182" s="1">
        <f>SUM(OSRRefD22_6x_0)</f>
        <v>42.86</v>
      </c>
      <c r="E182" s="1"/>
      <c r="F182" s="5">
        <f t="shared" ref="F182:F184" si="48">IF(D$12=0,0,D182/D$12)</f>
        <v>7.8479435485665099E-5</v>
      </c>
      <c r="G182" s="1"/>
      <c r="H182" s="1">
        <f>SUM(OSRRefH22_6x_0)</f>
        <v>34824</v>
      </c>
      <c r="I182" s="1"/>
      <c r="J182" s="5">
        <f t="shared" ref="J182:J184" si="49">IF(H$12=0,0,H182/H$12)</f>
        <v>2.2676510692941135E-2</v>
      </c>
      <c r="K182" s="1"/>
      <c r="L182" s="1">
        <f t="shared" ref="L182:L184" si="50">+D182-H182</f>
        <v>-34781.14</v>
      </c>
      <c r="M182" s="1"/>
      <c r="N182" s="5">
        <f t="shared" ref="N182:N184" si="51">IF(H182=0,0,L182/H182)</f>
        <v>-0.99876923960487018</v>
      </c>
      <c r="O182" s="14"/>
      <c r="P182" s="1">
        <f>SUM(OSRRefP22_6x_0)</f>
        <v>0</v>
      </c>
      <c r="Q182" s="1"/>
      <c r="R182" s="5">
        <f t="shared" ref="R182:R184" si="52">IF(P$12=0,0,P182/P$12)</f>
        <v>0</v>
      </c>
      <c r="S182" s="1"/>
      <c r="T182" s="1">
        <f>SUM(OSRRefT22_6x_0)</f>
        <v>247400</v>
      </c>
      <c r="U182" s="1"/>
      <c r="V182" s="5">
        <f t="shared" ref="V182:V184" si="53">IF(T$12=0,0,T182/T$12)</f>
        <v>1.9558852222673027E-2</v>
      </c>
      <c r="W182" s="1"/>
      <c r="X182" s="1">
        <f t="shared" ref="X182:X184" si="54">+P182-T182</f>
        <v>-247400</v>
      </c>
      <c r="Y182" s="1"/>
      <c r="Z182" s="5">
        <f t="shared" ref="Z182:Z184" si="55">IF(T182=0,0,X182/T182)</f>
        <v>-1</v>
      </c>
    </row>
    <row r="183" spans="1:26" s="24" customFormat="1" hidden="1" outlineLevel="2" x14ac:dyDescent="0.25">
      <c r="A183" s="27"/>
      <c r="B183" s="11" t="str">
        <f>CONCATENATE("          ", "6382", " - ", "DISCOUNTS/MARK DOWNS")</f>
        <v xml:space="preserve">          6382 - DISCOUNTS/MARK DOWNS</v>
      </c>
      <c r="C183" s="11"/>
      <c r="D183" s="7"/>
      <c r="E183" s="2"/>
      <c r="F183" s="6">
        <f t="shared" si="48"/>
        <v>0</v>
      </c>
      <c r="G183" s="2"/>
      <c r="H183" s="7">
        <v>34824</v>
      </c>
      <c r="I183" s="2"/>
      <c r="J183" s="6">
        <f t="shared" si="49"/>
        <v>2.2676510692941135E-2</v>
      </c>
      <c r="K183" s="2"/>
      <c r="L183" s="7">
        <f t="shared" si="50"/>
        <v>-34824</v>
      </c>
      <c r="M183" s="2"/>
      <c r="N183" s="6">
        <f t="shared" si="51"/>
        <v>-1</v>
      </c>
      <c r="O183" s="11"/>
      <c r="P183" s="7">
        <v>0</v>
      </c>
      <c r="Q183" s="2"/>
      <c r="R183" s="6">
        <f t="shared" si="52"/>
        <v>0</v>
      </c>
      <c r="S183" s="2"/>
      <c r="T183" s="7">
        <v>247400</v>
      </c>
      <c r="U183" s="2"/>
      <c r="V183" s="6">
        <f t="shared" si="53"/>
        <v>1.9558852222673027E-2</v>
      </c>
      <c r="W183" s="2"/>
      <c r="X183" s="7">
        <f t="shared" si="54"/>
        <v>-247400</v>
      </c>
      <c r="Y183" s="2"/>
      <c r="Z183" s="6">
        <f t="shared" si="55"/>
        <v>-1</v>
      </c>
    </row>
    <row r="184" spans="1:26" s="24" customFormat="1" hidden="1" outlineLevel="2" x14ac:dyDescent="0.25">
      <c r="A184" s="27"/>
      <c r="B184" s="11" t="str">
        <f>CONCATENATE("          ", "9175", " - ", "EARNED DISCOUNTS")</f>
        <v xml:space="preserve">          9175 - EARNED DISCOUNTS</v>
      </c>
      <c r="C184" s="11"/>
      <c r="D184" s="7">
        <v>42.86</v>
      </c>
      <c r="E184" s="2"/>
      <c r="F184" s="6">
        <f t="shared" si="48"/>
        <v>7.8479435485665099E-5</v>
      </c>
      <c r="G184" s="2"/>
      <c r="H184" s="7"/>
      <c r="I184" s="2"/>
      <c r="J184" s="6">
        <f t="shared" si="49"/>
        <v>0</v>
      </c>
      <c r="K184" s="2"/>
      <c r="L184" s="7">
        <f t="shared" si="50"/>
        <v>42.86</v>
      </c>
      <c r="M184" s="2"/>
      <c r="N184" s="6">
        <f t="shared" si="51"/>
        <v>0</v>
      </c>
      <c r="O184" s="11"/>
      <c r="P184" s="7">
        <v>0</v>
      </c>
      <c r="Q184" s="2"/>
      <c r="R184" s="6">
        <f t="shared" si="52"/>
        <v>0</v>
      </c>
      <c r="S184" s="2"/>
      <c r="T184" s="7"/>
      <c r="U184" s="2"/>
      <c r="V184" s="6">
        <f t="shared" si="53"/>
        <v>0</v>
      </c>
      <c r="W184" s="2"/>
      <c r="X184" s="7">
        <f t="shared" si="54"/>
        <v>0</v>
      </c>
      <c r="Y184" s="2"/>
      <c r="Z184" s="6">
        <f t="shared" si="55"/>
        <v>0</v>
      </c>
    </row>
    <row r="185" spans="1:26" s="28" customFormat="1" outlineLevel="1" collapsed="1" x14ac:dyDescent="0.25">
      <c r="A185" s="29"/>
      <c r="B185" s="14" t="str">
        <f>CONCATENATE("     ","Donations                                         ")</f>
        <v xml:space="preserve">     Donations                                         </v>
      </c>
      <c r="C185" s="14"/>
      <c r="D185" s="1">
        <f>SUM(OSRRefD22_7x_0)</f>
        <v>5361.28</v>
      </c>
      <c r="E185" s="1"/>
      <c r="F185" s="5">
        <f t="shared" ref="F185:F187" si="56">IF(D$12=0,0,D185/D$12)</f>
        <v>9.8168508604896537E-3</v>
      </c>
      <c r="G185" s="1"/>
      <c r="H185" s="1">
        <f>SUM(OSRRefH22_7x_0)</f>
        <v>14773</v>
      </c>
      <c r="I185" s="1"/>
      <c r="J185" s="5">
        <f t="shared" ref="J185:J187" si="57">IF(H$12=0,0,H185/H$12)</f>
        <v>9.6198050903635243E-3</v>
      </c>
      <c r="K185" s="1"/>
      <c r="L185" s="1">
        <f t="shared" ref="L185:L187" si="58">+D185-H185</f>
        <v>-9411.7200000000012</v>
      </c>
      <c r="M185" s="1"/>
      <c r="N185" s="5">
        <f t="shared" ref="N185:N187" si="59">IF(H185=0,0,L185/H185)</f>
        <v>-0.63708928450551694</v>
      </c>
      <c r="O185" s="14"/>
      <c r="P185" s="1">
        <f>SUM(OSRRefP22_7x_0)</f>
        <v>43642.43</v>
      </c>
      <c r="Q185" s="1"/>
      <c r="R185" s="5">
        <f t="shared" ref="R185:R187" si="60">IF(P$12=0,0,P185/P$12)</f>
        <v>6.1026533962824153E-3</v>
      </c>
      <c r="S185" s="1"/>
      <c r="T185" s="1">
        <f>SUM(OSRRefT22_7x_0)</f>
        <v>100411</v>
      </c>
      <c r="U185" s="1"/>
      <c r="V185" s="5">
        <f t="shared" ref="V185:V187" si="61">IF(T$12=0,0,T185/T$12)</f>
        <v>7.9382534782975796E-3</v>
      </c>
      <c r="W185" s="1"/>
      <c r="X185" s="1">
        <f t="shared" ref="X185:X187" si="62">+P185-T185</f>
        <v>-56768.57</v>
      </c>
      <c r="Y185" s="1"/>
      <c r="Z185" s="5">
        <f t="shared" ref="Z185:Z187" si="63">IF(T185=0,0,X185/T185)</f>
        <v>-0.56536206192548621</v>
      </c>
    </row>
    <row r="186" spans="1:26" s="24" customFormat="1" hidden="1" outlineLevel="2" x14ac:dyDescent="0.25">
      <c r="A186" s="27"/>
      <c r="B186" s="11" t="str">
        <f>CONCATENATE("          ", "6395", " - ", "DONATION-OFF CAMPUS")</f>
        <v xml:space="preserve">          6395 - DONATION-OFF CAMPUS</v>
      </c>
      <c r="C186" s="11"/>
      <c r="D186" s="7"/>
      <c r="E186" s="2"/>
      <c r="F186" s="6">
        <f t="shared" si="56"/>
        <v>0</v>
      </c>
      <c r="G186" s="2"/>
      <c r="H186" s="7"/>
      <c r="I186" s="2"/>
      <c r="J186" s="6">
        <f t="shared" si="57"/>
        <v>0</v>
      </c>
      <c r="K186" s="2"/>
      <c r="L186" s="7">
        <f t="shared" si="58"/>
        <v>0</v>
      </c>
      <c r="M186" s="2"/>
      <c r="N186" s="6">
        <f t="shared" si="59"/>
        <v>0</v>
      </c>
      <c r="O186" s="11"/>
      <c r="P186" s="7"/>
      <c r="Q186" s="2"/>
      <c r="R186" s="6">
        <f t="shared" si="60"/>
        <v>0</v>
      </c>
      <c r="S186" s="2"/>
      <c r="T186" s="7">
        <v>0</v>
      </c>
      <c r="U186" s="2"/>
      <c r="V186" s="6">
        <f t="shared" si="61"/>
        <v>0</v>
      </c>
      <c r="W186" s="2"/>
      <c r="X186" s="7">
        <f t="shared" si="62"/>
        <v>0</v>
      </c>
      <c r="Y186" s="2"/>
      <c r="Z186" s="6">
        <f t="shared" si="63"/>
        <v>0</v>
      </c>
    </row>
    <row r="187" spans="1:26" s="24" customFormat="1" hidden="1" outlineLevel="2" x14ac:dyDescent="0.25">
      <c r="A187" s="27"/>
      <c r="B187" s="11" t="str">
        <f>CONCATENATE("          ", "6399", " - ", "DONATION-ON CAMPUS")</f>
        <v xml:space="preserve">          6399 - DONATION-ON CAMPUS</v>
      </c>
      <c r="C187" s="11"/>
      <c r="D187" s="7">
        <v>5361.28</v>
      </c>
      <c r="E187" s="2"/>
      <c r="F187" s="6">
        <f t="shared" si="56"/>
        <v>9.8168508604896537E-3</v>
      </c>
      <c r="G187" s="2"/>
      <c r="H187" s="7">
        <v>14773</v>
      </c>
      <c r="I187" s="2"/>
      <c r="J187" s="6">
        <f t="shared" si="57"/>
        <v>9.6198050903635243E-3</v>
      </c>
      <c r="K187" s="2"/>
      <c r="L187" s="7">
        <f t="shared" si="58"/>
        <v>-9411.7200000000012</v>
      </c>
      <c r="M187" s="2"/>
      <c r="N187" s="6">
        <f t="shared" si="59"/>
        <v>-0.63708928450551694</v>
      </c>
      <c r="O187" s="11"/>
      <c r="P187" s="7">
        <v>43642.43</v>
      </c>
      <c r="Q187" s="2"/>
      <c r="R187" s="6">
        <f t="shared" si="60"/>
        <v>6.1026533962824153E-3</v>
      </c>
      <c r="S187" s="2"/>
      <c r="T187" s="7">
        <v>100411</v>
      </c>
      <c r="U187" s="2"/>
      <c r="V187" s="6">
        <f t="shared" si="61"/>
        <v>7.9382534782975796E-3</v>
      </c>
      <c r="W187" s="2"/>
      <c r="X187" s="7">
        <f t="shared" si="62"/>
        <v>-56768.57</v>
      </c>
      <c r="Y187" s="2"/>
      <c r="Z187" s="6">
        <f t="shared" si="63"/>
        <v>-0.56536206192548621</v>
      </c>
    </row>
    <row r="188" spans="1:26" s="28" customFormat="1" outlineLevel="1" collapsed="1" x14ac:dyDescent="0.25">
      <c r="A188" s="29"/>
      <c r="B188" s="14" t="str">
        <f>CONCATENATE("     ","Employees' Appreciation                           ")</f>
        <v xml:space="preserve">     Employees' Appreciation                           </v>
      </c>
      <c r="C188" s="14"/>
      <c r="D188" s="1">
        <f>SUM(OSRRefD22_8x_0)</f>
        <v>0</v>
      </c>
      <c r="E188" s="1"/>
      <c r="F188" s="5">
        <f t="shared" ref="F188:F194" si="64">IF(D$12=0,0,D188/D$12)</f>
        <v>0</v>
      </c>
      <c r="G188" s="1"/>
      <c r="H188" s="1">
        <f>SUM(OSRRefH22_8x_0)</f>
        <v>765</v>
      </c>
      <c r="I188" s="1"/>
      <c r="J188" s="5">
        <f t="shared" ref="J188:J194" si="65">IF(H$12=0,0,H188/H$12)</f>
        <v>4.9814871008786949E-4</v>
      </c>
      <c r="K188" s="1"/>
      <c r="L188" s="1">
        <f t="shared" ref="L188:L194" si="66">+D188-H188</f>
        <v>-765</v>
      </c>
      <c r="M188" s="1"/>
      <c r="N188" s="5">
        <f t="shared" ref="N188:N194" si="67">IF(H188=0,0,L188/H188)</f>
        <v>-1</v>
      </c>
      <c r="O188" s="14"/>
      <c r="P188" s="1">
        <f>SUM(OSRRefP22_8x_0)</f>
        <v>196.03</v>
      </c>
      <c r="Q188" s="1"/>
      <c r="R188" s="5">
        <f t="shared" ref="R188:R194" si="68">IF(P$12=0,0,P188/P$12)</f>
        <v>2.7411469647158554E-5</v>
      </c>
      <c r="S188" s="1"/>
      <c r="T188" s="1">
        <f>SUM(OSRRefT22_8x_0)</f>
        <v>5970</v>
      </c>
      <c r="U188" s="1"/>
      <c r="V188" s="5">
        <f t="shared" ref="V188:V194" si="69">IF(T$12=0,0,T188/T$12)</f>
        <v>4.7197391984380745E-4</v>
      </c>
      <c r="W188" s="1"/>
      <c r="X188" s="1">
        <f t="shared" ref="X188:X194" si="70">+P188-T188</f>
        <v>-5773.97</v>
      </c>
      <c r="Y188" s="1"/>
      <c r="Z188" s="5">
        <f t="shared" ref="Z188:Z194" si="71">IF(T188=0,0,X188/T188)</f>
        <v>-0.96716415410385259</v>
      </c>
    </row>
    <row r="189" spans="1:26" s="24" customFormat="1" hidden="1" outlineLevel="2" x14ac:dyDescent="0.25">
      <c r="A189" s="27"/>
      <c r="B189" s="11" t="str">
        <f>CONCATENATE("          ", "6277", " - ", "EMPLOYEE APPRECIATION")</f>
        <v xml:space="preserve">          6277 - EMPLOYEE APPRECIATION</v>
      </c>
      <c r="C189" s="11"/>
      <c r="D189" s="7"/>
      <c r="E189" s="2"/>
      <c r="F189" s="6">
        <f t="shared" si="64"/>
        <v>0</v>
      </c>
      <c r="G189" s="2"/>
      <c r="H189" s="7">
        <v>765</v>
      </c>
      <c r="I189" s="2"/>
      <c r="J189" s="6">
        <f t="shared" si="65"/>
        <v>4.9814871008786949E-4</v>
      </c>
      <c r="K189" s="2"/>
      <c r="L189" s="7">
        <f t="shared" si="66"/>
        <v>-765</v>
      </c>
      <c r="M189" s="2"/>
      <c r="N189" s="6">
        <f t="shared" si="67"/>
        <v>-1</v>
      </c>
      <c r="O189" s="11"/>
      <c r="P189" s="7">
        <v>196.03</v>
      </c>
      <c r="Q189" s="2"/>
      <c r="R189" s="6">
        <f t="shared" si="68"/>
        <v>2.7411469647158554E-5</v>
      </c>
      <c r="S189" s="2"/>
      <c r="T189" s="7">
        <v>5970</v>
      </c>
      <c r="U189" s="2"/>
      <c r="V189" s="6">
        <f t="shared" si="69"/>
        <v>4.7197391984380745E-4</v>
      </c>
      <c r="W189" s="2"/>
      <c r="X189" s="7">
        <f t="shared" si="70"/>
        <v>-5773.97</v>
      </c>
      <c r="Y189" s="2"/>
      <c r="Z189" s="6">
        <f t="shared" si="71"/>
        <v>-0.96716415410385259</v>
      </c>
    </row>
    <row r="190" spans="1:26" s="28" customFormat="1" outlineLevel="1" collapsed="1" x14ac:dyDescent="0.25">
      <c r="A190" s="29"/>
      <c r="B190" s="14" t="str">
        <f>CONCATENATE("     ","Equipment Rental                                  ")</f>
        <v xml:space="preserve">     Equipment Rental                                  </v>
      </c>
      <c r="C190" s="14"/>
      <c r="D190" s="1">
        <f>SUM(OSRRefD22_9x_0)</f>
        <v>2772.7</v>
      </c>
      <c r="E190" s="1"/>
      <c r="F190" s="5">
        <f t="shared" si="64"/>
        <v>5.0769932517756326E-3</v>
      </c>
      <c r="G190" s="1"/>
      <c r="H190" s="1">
        <f>SUM(OSRRefH22_9x_0)</f>
        <v>4153.333333333333</v>
      </c>
      <c r="I190" s="1"/>
      <c r="J190" s="5">
        <f t="shared" si="65"/>
        <v>2.7045459379934004E-3</v>
      </c>
      <c r="K190" s="1"/>
      <c r="L190" s="1">
        <f t="shared" si="66"/>
        <v>-1380.6333333333332</v>
      </c>
      <c r="M190" s="1"/>
      <c r="N190" s="5">
        <f t="shared" si="67"/>
        <v>-0.33241573033707866</v>
      </c>
      <c r="O190" s="14"/>
      <c r="P190" s="1">
        <f>SUM(OSRRefP22_9x_0)</f>
        <v>21148.05</v>
      </c>
      <c r="Q190" s="1"/>
      <c r="R190" s="5">
        <f t="shared" si="68"/>
        <v>2.9571959938355934E-3</v>
      </c>
      <c r="S190" s="1"/>
      <c r="T190" s="1">
        <f>SUM(OSRRefT22_9x_0)</f>
        <v>32902.666666666664</v>
      </c>
      <c r="U190" s="1"/>
      <c r="V190" s="5">
        <f t="shared" si="69"/>
        <v>2.6012061239498907E-3</v>
      </c>
      <c r="W190" s="1"/>
      <c r="X190" s="1">
        <f t="shared" si="70"/>
        <v>-11754.616666666665</v>
      </c>
      <c r="Y190" s="1"/>
      <c r="Z190" s="5">
        <f t="shared" si="71"/>
        <v>-0.35725422458159417</v>
      </c>
    </row>
    <row r="191" spans="1:26" s="24" customFormat="1" hidden="1" outlineLevel="2" x14ac:dyDescent="0.25">
      <c r="A191" s="27"/>
      <c r="B191" s="11" t="str">
        <f>CONCATENATE("          ", "6351", " - ", "EQUIPMENT RENTAL")</f>
        <v xml:space="preserve">          6351 - EQUIPMENT RENTAL</v>
      </c>
      <c r="C191" s="11"/>
      <c r="D191" s="7">
        <v>2772.7</v>
      </c>
      <c r="E191" s="2"/>
      <c r="F191" s="6">
        <f t="shared" si="64"/>
        <v>5.0769932517756326E-3</v>
      </c>
      <c r="G191" s="2"/>
      <c r="H191" s="7">
        <v>4153.333333333333</v>
      </c>
      <c r="I191" s="2"/>
      <c r="J191" s="6">
        <f t="shared" si="65"/>
        <v>2.7045459379934004E-3</v>
      </c>
      <c r="K191" s="2"/>
      <c r="L191" s="7">
        <f t="shared" si="66"/>
        <v>-1380.6333333333332</v>
      </c>
      <c r="M191" s="2"/>
      <c r="N191" s="6">
        <f t="shared" si="67"/>
        <v>-0.33241573033707866</v>
      </c>
      <c r="O191" s="11"/>
      <c r="P191" s="7">
        <v>21148.05</v>
      </c>
      <c r="Q191" s="2"/>
      <c r="R191" s="6">
        <f t="shared" si="68"/>
        <v>2.9571959938355934E-3</v>
      </c>
      <c r="S191" s="2"/>
      <c r="T191" s="7">
        <v>32902.666666666664</v>
      </c>
      <c r="U191" s="2"/>
      <c r="V191" s="6">
        <f t="shared" si="69"/>
        <v>2.6012061239498907E-3</v>
      </c>
      <c r="W191" s="2"/>
      <c r="X191" s="7">
        <f t="shared" si="70"/>
        <v>-11754.616666666665</v>
      </c>
      <c r="Y191" s="2"/>
      <c r="Z191" s="6">
        <f t="shared" si="71"/>
        <v>-0.35725422458159417</v>
      </c>
    </row>
    <row r="192" spans="1:26" s="28" customFormat="1" outlineLevel="1" collapsed="1" x14ac:dyDescent="0.25">
      <c r="A192" s="29"/>
      <c r="B192" s="14" t="str">
        <f>CONCATENATE("     ","Freight out/Postage                               ")</f>
        <v xml:space="preserve">     Freight out/Postage                               </v>
      </c>
      <c r="C192" s="14"/>
      <c r="D192" s="1">
        <f>SUM(OSRRefD22_10x_0)</f>
        <v>4344.1700000000019</v>
      </c>
      <c r="E192" s="1"/>
      <c r="F192" s="5">
        <f t="shared" si="64"/>
        <v>7.9544565854820799E-3</v>
      </c>
      <c r="G192" s="1"/>
      <c r="H192" s="1">
        <f>SUM(OSRRefH22_10x_0)</f>
        <v>5613</v>
      </c>
      <c r="I192" s="1"/>
      <c r="J192" s="5">
        <f t="shared" si="65"/>
        <v>3.6550440649976623E-3</v>
      </c>
      <c r="K192" s="1"/>
      <c r="L192" s="1">
        <f t="shared" si="66"/>
        <v>-1268.8299999999981</v>
      </c>
      <c r="M192" s="1"/>
      <c r="N192" s="5">
        <f t="shared" si="67"/>
        <v>-0.2260520220915728</v>
      </c>
      <c r="O192" s="14"/>
      <c r="P192" s="1">
        <f>SUM(OSRRefP22_10x_0)</f>
        <v>-31366.97</v>
      </c>
      <c r="Q192" s="1"/>
      <c r="R192" s="5">
        <f t="shared" si="68"/>
        <v>-4.3861385812290618E-3</v>
      </c>
      <c r="S192" s="1"/>
      <c r="T192" s="1">
        <f>SUM(OSRRefT22_10x_0)</f>
        <v>46553</v>
      </c>
      <c r="U192" s="1"/>
      <c r="V192" s="5">
        <f t="shared" si="69"/>
        <v>3.6803688258775155E-3</v>
      </c>
      <c r="W192" s="1"/>
      <c r="X192" s="1">
        <f t="shared" si="70"/>
        <v>-77919.97</v>
      </c>
      <c r="Y192" s="1"/>
      <c r="Z192" s="5">
        <f t="shared" si="71"/>
        <v>-1.6737905183339419</v>
      </c>
    </row>
    <row r="193" spans="1:26" s="24" customFormat="1" hidden="1" outlineLevel="2" x14ac:dyDescent="0.25">
      <c r="A193" s="27"/>
      <c r="B193" s="11" t="str">
        <f>CONCATENATE("          ", "6305", " - ", "FREIGHT OUT")</f>
        <v xml:space="preserve">          6305 - FREIGHT OUT</v>
      </c>
      <c r="C193" s="11"/>
      <c r="D193" s="7">
        <v>26356.7</v>
      </c>
      <c r="E193" s="2"/>
      <c r="F193" s="6">
        <f t="shared" si="64"/>
        <v>4.8260824481218607E-2</v>
      </c>
      <c r="G193" s="2"/>
      <c r="H193" s="7">
        <v>11283</v>
      </c>
      <c r="I193" s="2"/>
      <c r="J193" s="6">
        <f t="shared" si="65"/>
        <v>7.3472050927077537E-3</v>
      </c>
      <c r="K193" s="2"/>
      <c r="L193" s="7">
        <f t="shared" si="66"/>
        <v>15073.7</v>
      </c>
      <c r="M193" s="2"/>
      <c r="N193" s="6">
        <f t="shared" si="67"/>
        <v>1.3359656119826289</v>
      </c>
      <c r="O193" s="11"/>
      <c r="P193" s="7">
        <v>162946.46</v>
      </c>
      <c r="Q193" s="2"/>
      <c r="R193" s="6">
        <f t="shared" si="68"/>
        <v>2.2785297874824952E-2</v>
      </c>
      <c r="S193" s="2"/>
      <c r="T193" s="7">
        <v>48763</v>
      </c>
      <c r="U193" s="2"/>
      <c r="V193" s="6">
        <f t="shared" si="69"/>
        <v>3.8550861395885401E-3</v>
      </c>
      <c r="W193" s="2"/>
      <c r="X193" s="7">
        <f t="shared" si="70"/>
        <v>114183.45999999999</v>
      </c>
      <c r="Y193" s="2"/>
      <c r="Z193" s="6">
        <f t="shared" si="71"/>
        <v>2.3416003937411562</v>
      </c>
    </row>
    <row r="194" spans="1:26" s="24" customFormat="1" hidden="1" outlineLevel="2" x14ac:dyDescent="0.25">
      <c r="A194" s="27"/>
      <c r="B194" s="11" t="str">
        <f>CONCATENATE("          ", "6307", " - ", "POSTAGE")</f>
        <v xml:space="preserve">          6307 - POSTAGE</v>
      </c>
      <c r="C194" s="11"/>
      <c r="D194" s="7">
        <v>-22012.53</v>
      </c>
      <c r="E194" s="2"/>
      <c r="F194" s="6">
        <f t="shared" si="64"/>
        <v>-4.0306367895736529E-2</v>
      </c>
      <c r="G194" s="2"/>
      <c r="H194" s="7">
        <v>-5670</v>
      </c>
      <c r="I194" s="2"/>
      <c r="J194" s="6">
        <f t="shared" si="65"/>
        <v>-3.6921610277100918E-3</v>
      </c>
      <c r="K194" s="2"/>
      <c r="L194" s="7">
        <f t="shared" si="66"/>
        <v>-16342.529999999999</v>
      </c>
      <c r="M194" s="2"/>
      <c r="N194" s="6">
        <f t="shared" si="67"/>
        <v>2.8822804232804229</v>
      </c>
      <c r="O194" s="11"/>
      <c r="P194" s="7">
        <v>-194313.43</v>
      </c>
      <c r="Q194" s="2"/>
      <c r="R194" s="6">
        <f t="shared" si="68"/>
        <v>-2.7171436456054011E-2</v>
      </c>
      <c r="S194" s="2"/>
      <c r="T194" s="7">
        <v>-2210</v>
      </c>
      <c r="U194" s="2"/>
      <c r="V194" s="6">
        <f t="shared" si="69"/>
        <v>-1.7471731371102421E-4</v>
      </c>
      <c r="W194" s="2"/>
      <c r="X194" s="7">
        <f t="shared" si="70"/>
        <v>-192103.43</v>
      </c>
      <c r="Y194" s="2"/>
      <c r="Z194" s="6">
        <f t="shared" si="71"/>
        <v>86.924628959276021</v>
      </c>
    </row>
    <row r="195" spans="1:26" s="28" customFormat="1" outlineLevel="1" collapsed="1" x14ac:dyDescent="0.25">
      <c r="A195" s="29"/>
      <c r="B195" s="14" t="str">
        <f>CONCATENATE("     ","General                                           ")</f>
        <v xml:space="preserve">     General                                           </v>
      </c>
      <c r="C195" s="14"/>
      <c r="D195" s="1">
        <f>SUM(OSRRefD22_11x_0)</f>
        <v>1888.82</v>
      </c>
      <c r="E195" s="1"/>
      <c r="F195" s="5">
        <f t="shared" ref="F195:F198" si="72">IF(D$12=0,0,D195/D$12)</f>
        <v>3.4585517343451696E-3</v>
      </c>
      <c r="G195" s="1"/>
      <c r="H195" s="1">
        <f>SUM(OSRRefH22_11x_0)</f>
        <v>2935</v>
      </c>
      <c r="I195" s="1"/>
      <c r="J195" s="5">
        <f t="shared" ref="J195:J198" si="73">IF(H$12=0,0,H195/H$12)</f>
        <v>1.9111979922979045E-3</v>
      </c>
      <c r="K195" s="1"/>
      <c r="L195" s="1">
        <f t="shared" ref="L195:L198" si="74">+D195-H195</f>
        <v>-1046.18</v>
      </c>
      <c r="M195" s="1"/>
      <c r="N195" s="5">
        <f t="shared" ref="N195:N198" si="75">IF(H195=0,0,L195/H195)</f>
        <v>-0.35644974446337313</v>
      </c>
      <c r="O195" s="14"/>
      <c r="P195" s="1">
        <f>SUM(OSRRefP22_11x_0)</f>
        <v>19397.04</v>
      </c>
      <c r="Q195" s="1"/>
      <c r="R195" s="5">
        <f t="shared" ref="R195:R198" si="76">IF(P$12=0,0,P195/P$12)</f>
        <v>2.7123469530414752E-3</v>
      </c>
      <c r="S195" s="1"/>
      <c r="T195" s="1">
        <f>SUM(OSRRefT22_11x_0)</f>
        <v>26960</v>
      </c>
      <c r="U195" s="1"/>
      <c r="V195" s="5">
        <f t="shared" ref="V195:V198" si="77">IF(T$12=0,0,T195/T$12)</f>
        <v>2.1313931120584672E-3</v>
      </c>
      <c r="W195" s="1"/>
      <c r="X195" s="1">
        <f t="shared" ref="X195:X198" si="78">+P195-T195</f>
        <v>-7562.9599999999991</v>
      </c>
      <c r="Y195" s="1"/>
      <c r="Z195" s="5">
        <f t="shared" ref="Z195:Z198" si="79">IF(T195=0,0,X195/T195)</f>
        <v>-0.28052522255192874</v>
      </c>
    </row>
    <row r="196" spans="1:26" s="24" customFormat="1" hidden="1" outlineLevel="2" x14ac:dyDescent="0.25">
      <c r="A196" s="27"/>
      <c r="B196" s="11" t="str">
        <f>CONCATENATE("          ", "6269", " - ", "ENTERTAINMENT")</f>
        <v xml:space="preserve">          6269 - ENTERTAINMENT</v>
      </c>
      <c r="C196" s="11"/>
      <c r="D196" s="7"/>
      <c r="E196" s="2"/>
      <c r="F196" s="6">
        <f t="shared" si="72"/>
        <v>0</v>
      </c>
      <c r="G196" s="2"/>
      <c r="H196" s="7">
        <v>125</v>
      </c>
      <c r="I196" s="2"/>
      <c r="J196" s="6">
        <f t="shared" si="73"/>
        <v>8.1396848053573456E-5</v>
      </c>
      <c r="K196" s="2"/>
      <c r="L196" s="7">
        <f t="shared" si="74"/>
        <v>-125</v>
      </c>
      <c r="M196" s="2"/>
      <c r="N196" s="6">
        <f t="shared" si="75"/>
        <v>-1</v>
      </c>
      <c r="O196" s="11"/>
      <c r="P196" s="7"/>
      <c r="Q196" s="2"/>
      <c r="R196" s="6">
        <f t="shared" si="76"/>
        <v>0</v>
      </c>
      <c r="S196" s="2"/>
      <c r="T196" s="7">
        <v>1500</v>
      </c>
      <c r="U196" s="2"/>
      <c r="V196" s="6">
        <f t="shared" si="77"/>
        <v>1.1858641202105716E-4</v>
      </c>
      <c r="W196" s="2"/>
      <c r="X196" s="7">
        <f t="shared" si="78"/>
        <v>-1500</v>
      </c>
      <c r="Y196" s="2"/>
      <c r="Z196" s="6">
        <f t="shared" si="79"/>
        <v>-1</v>
      </c>
    </row>
    <row r="197" spans="1:26" s="24" customFormat="1" hidden="1" outlineLevel="2" x14ac:dyDescent="0.25">
      <c r="A197" s="27"/>
      <c r="B197" s="11" t="str">
        <f>CONCATENATE("          ", "6276", " - ", "PROPERTY TAX")</f>
        <v xml:space="preserve">          6276 - PROPERTY TAX</v>
      </c>
      <c r="C197" s="11"/>
      <c r="D197" s="7"/>
      <c r="E197" s="2"/>
      <c r="F197" s="6">
        <f t="shared" si="72"/>
        <v>0</v>
      </c>
      <c r="G197" s="2"/>
      <c r="H197" s="7"/>
      <c r="I197" s="2"/>
      <c r="J197" s="6">
        <f t="shared" si="73"/>
        <v>0</v>
      </c>
      <c r="K197" s="2"/>
      <c r="L197" s="7">
        <f t="shared" si="74"/>
        <v>0</v>
      </c>
      <c r="M197" s="2"/>
      <c r="N197" s="6">
        <f t="shared" si="75"/>
        <v>0</v>
      </c>
      <c r="O197" s="11"/>
      <c r="P197" s="7"/>
      <c r="Q197" s="2"/>
      <c r="R197" s="6">
        <f t="shared" si="76"/>
        <v>0</v>
      </c>
      <c r="S197" s="2"/>
      <c r="T197" s="7">
        <v>150</v>
      </c>
      <c r="U197" s="2"/>
      <c r="V197" s="6">
        <f t="shared" si="77"/>
        <v>1.1858641202105714E-5</v>
      </c>
      <c r="W197" s="2"/>
      <c r="X197" s="7">
        <f t="shared" si="78"/>
        <v>-150</v>
      </c>
      <c r="Y197" s="2"/>
      <c r="Z197" s="6">
        <f t="shared" si="79"/>
        <v>-1</v>
      </c>
    </row>
    <row r="198" spans="1:26" s="24" customFormat="1" hidden="1" outlineLevel="2" x14ac:dyDescent="0.25">
      <c r="A198" s="27"/>
      <c r="B198" s="11" t="str">
        <f>CONCATENATE("          ", "6279", " - ", "GENERAL EXPENSE")</f>
        <v xml:space="preserve">          6279 - GENERAL EXPENSE</v>
      </c>
      <c r="C198" s="11"/>
      <c r="D198" s="7">
        <v>1888.82</v>
      </c>
      <c r="E198" s="2"/>
      <c r="F198" s="6">
        <f t="shared" si="72"/>
        <v>3.4585517343451696E-3</v>
      </c>
      <c r="G198" s="2"/>
      <c r="H198" s="7">
        <v>2810</v>
      </c>
      <c r="I198" s="2"/>
      <c r="J198" s="6">
        <f t="shared" si="73"/>
        <v>1.8298011442443311E-3</v>
      </c>
      <c r="K198" s="2"/>
      <c r="L198" s="7">
        <f t="shared" si="74"/>
        <v>-921.18000000000006</v>
      </c>
      <c r="M198" s="2"/>
      <c r="N198" s="6">
        <f t="shared" si="75"/>
        <v>-0.32782206405693953</v>
      </c>
      <c r="O198" s="11"/>
      <c r="P198" s="7">
        <v>19397.04</v>
      </c>
      <c r="Q198" s="2"/>
      <c r="R198" s="6">
        <f t="shared" si="76"/>
        <v>2.7123469530414752E-3</v>
      </c>
      <c r="S198" s="2"/>
      <c r="T198" s="7">
        <v>25310</v>
      </c>
      <c r="U198" s="2"/>
      <c r="V198" s="6">
        <f t="shared" si="77"/>
        <v>2.0009480588353045E-3</v>
      </c>
      <c r="W198" s="2"/>
      <c r="X198" s="7">
        <f t="shared" si="78"/>
        <v>-5912.9599999999991</v>
      </c>
      <c r="Y198" s="2"/>
      <c r="Z198" s="6">
        <f t="shared" si="79"/>
        <v>-0.23362149348083758</v>
      </c>
    </row>
    <row r="199" spans="1:26" s="28" customFormat="1" outlineLevel="1" collapsed="1" x14ac:dyDescent="0.25">
      <c r="A199" s="29"/>
      <c r="B199" s="14" t="str">
        <f>CONCATENATE("     ","Insurance                                         ")</f>
        <v xml:space="preserve">     Insurance                                         </v>
      </c>
      <c r="C199" s="14"/>
      <c r="D199" s="1">
        <f>SUM(OSRRefD22_12x_0)</f>
        <v>8563.32</v>
      </c>
      <c r="E199" s="1"/>
      <c r="F199" s="5">
        <f t="shared" ref="F199:F215" si="80">IF(D$12=0,0,D199/D$12)</f>
        <v>1.5679993455042129E-2</v>
      </c>
      <c r="G199" s="1"/>
      <c r="H199" s="1">
        <f>SUM(OSRRefH22_12x_0)</f>
        <v>9321</v>
      </c>
      <c r="I199" s="1"/>
      <c r="J199" s="5">
        <f t="shared" ref="J199:J215" si="81">IF(H$12=0,0,H199/H$12)</f>
        <v>6.0696001656588647E-3</v>
      </c>
      <c r="K199" s="1"/>
      <c r="L199" s="1">
        <f t="shared" ref="L199:L215" si="82">+D199-H199</f>
        <v>-757.68000000000029</v>
      </c>
      <c r="M199" s="1"/>
      <c r="N199" s="5">
        <f t="shared" ref="N199:N215" si="83">IF(H199=0,0,L199/H199)</f>
        <v>-8.128741551335697E-2</v>
      </c>
      <c r="O199" s="14"/>
      <c r="P199" s="1">
        <f>SUM(OSRRefP22_12x_0)</f>
        <v>74618.559999999998</v>
      </c>
      <c r="Q199" s="1"/>
      <c r="R199" s="5">
        <f t="shared" ref="R199:R215" si="84">IF(P$12=0,0,P199/P$12)</f>
        <v>1.0434139634518591E-2</v>
      </c>
      <c r="S199" s="1"/>
      <c r="T199" s="1">
        <f>SUM(OSRRefT22_12x_0)</f>
        <v>74568</v>
      </c>
      <c r="U199" s="1"/>
      <c r="V199" s="5">
        <f t="shared" ref="V199:V215" si="85">IF(T$12=0,0,T199/T$12)</f>
        <v>5.8951677143907928E-3</v>
      </c>
      <c r="W199" s="1"/>
      <c r="X199" s="1">
        <f t="shared" ref="X199:X215" si="86">+P199-T199</f>
        <v>50.559999999997672</v>
      </c>
      <c r="Y199" s="1"/>
      <c r="Z199" s="5">
        <f t="shared" ref="Z199:Z215" si="87">IF(T199=0,0,X199/T199)</f>
        <v>6.7803883703462168E-4</v>
      </c>
    </row>
    <row r="200" spans="1:26" s="24" customFormat="1" hidden="1" outlineLevel="2" x14ac:dyDescent="0.25">
      <c r="A200" s="27"/>
      <c r="B200" s="11" t="str">
        <f>CONCATENATE("          ", "6314", " - ", "LIABILITY INSURANCE")</f>
        <v xml:space="preserve">          6314 - LIABILITY INSURANCE</v>
      </c>
      <c r="C200" s="11"/>
      <c r="D200" s="7">
        <v>8563.32</v>
      </c>
      <c r="E200" s="2"/>
      <c r="F200" s="6">
        <f t="shared" si="80"/>
        <v>1.5679993455042129E-2</v>
      </c>
      <c r="G200" s="2"/>
      <c r="H200" s="7">
        <v>9321</v>
      </c>
      <c r="I200" s="2"/>
      <c r="J200" s="6">
        <f t="shared" si="81"/>
        <v>6.0696001656588647E-3</v>
      </c>
      <c r="K200" s="2"/>
      <c r="L200" s="7">
        <f t="shared" si="82"/>
        <v>-757.68000000000029</v>
      </c>
      <c r="M200" s="2"/>
      <c r="N200" s="6">
        <f t="shared" si="83"/>
        <v>-8.128741551335697E-2</v>
      </c>
      <c r="O200" s="11"/>
      <c r="P200" s="7">
        <v>74618.559999999998</v>
      </c>
      <c r="Q200" s="2"/>
      <c r="R200" s="6">
        <f t="shared" si="84"/>
        <v>1.0434139634518591E-2</v>
      </c>
      <c r="S200" s="2"/>
      <c r="T200" s="7">
        <v>74568</v>
      </c>
      <c r="U200" s="2"/>
      <c r="V200" s="6">
        <f t="shared" si="85"/>
        <v>5.8951677143907928E-3</v>
      </c>
      <c r="W200" s="2"/>
      <c r="X200" s="7">
        <f t="shared" si="86"/>
        <v>50.559999999997672</v>
      </c>
      <c r="Y200" s="2"/>
      <c r="Z200" s="6">
        <f t="shared" si="87"/>
        <v>6.7803883703462168E-4</v>
      </c>
    </row>
    <row r="201" spans="1:26" s="28" customFormat="1" outlineLevel="1" collapsed="1" x14ac:dyDescent="0.25">
      <c r="A201" s="29"/>
      <c r="B201" s="14" t="str">
        <f>CONCATENATE("     ","Interest                                          ")</f>
        <v xml:space="preserve">     Interest                                          </v>
      </c>
      <c r="C201" s="14"/>
      <c r="D201" s="1">
        <f>SUM(OSRRefD22_13x_0)</f>
        <v>11554</v>
      </c>
      <c r="E201" s="1"/>
      <c r="F201" s="5">
        <f t="shared" si="80"/>
        <v>2.1156122202551905E-2</v>
      </c>
      <c r="G201" s="1"/>
      <c r="H201" s="1">
        <f>SUM(OSRRefH22_13x_0)</f>
        <v>11554</v>
      </c>
      <c r="I201" s="1"/>
      <c r="J201" s="5">
        <f t="shared" si="81"/>
        <v>7.5236734592879009E-3</v>
      </c>
      <c r="K201" s="1"/>
      <c r="L201" s="1">
        <f t="shared" si="82"/>
        <v>0</v>
      </c>
      <c r="M201" s="1"/>
      <c r="N201" s="5">
        <f t="shared" si="83"/>
        <v>0</v>
      </c>
      <c r="O201" s="14"/>
      <c r="P201" s="1">
        <f>SUM(OSRRefP22_13x_0)</f>
        <v>91683</v>
      </c>
      <c r="Q201" s="1"/>
      <c r="R201" s="5">
        <f t="shared" si="84"/>
        <v>1.282031205254521E-2</v>
      </c>
      <c r="S201" s="1"/>
      <c r="T201" s="1">
        <f>SUM(OSRRefT22_13x_0)</f>
        <v>92432</v>
      </c>
      <c r="U201" s="1"/>
      <c r="V201" s="5">
        <f t="shared" si="85"/>
        <v>7.3074528239535702E-3</v>
      </c>
      <c r="W201" s="1"/>
      <c r="X201" s="1">
        <f t="shared" si="86"/>
        <v>-749</v>
      </c>
      <c r="Y201" s="1"/>
      <c r="Z201" s="5">
        <f t="shared" si="87"/>
        <v>-8.1032542842305703E-3</v>
      </c>
    </row>
    <row r="202" spans="1:26" s="24" customFormat="1" hidden="1" outlineLevel="2" x14ac:dyDescent="0.25">
      <c r="A202" s="27"/>
      <c r="B202" s="11" t="str">
        <f>CONCATENATE("          ", "6401", " - ", "INTEREST EXPENSE")</f>
        <v xml:space="preserve">          6401 - INTEREST EXPENSE</v>
      </c>
      <c r="C202" s="11"/>
      <c r="D202" s="7">
        <v>11554</v>
      </c>
      <c r="E202" s="2"/>
      <c r="F202" s="6">
        <f t="shared" si="80"/>
        <v>2.1156122202551905E-2</v>
      </c>
      <c r="G202" s="2"/>
      <c r="H202" s="7">
        <v>11554</v>
      </c>
      <c r="I202" s="2"/>
      <c r="J202" s="6">
        <f t="shared" si="81"/>
        <v>7.5236734592879009E-3</v>
      </c>
      <c r="K202" s="2"/>
      <c r="L202" s="7">
        <f t="shared" si="82"/>
        <v>0</v>
      </c>
      <c r="M202" s="2"/>
      <c r="N202" s="6">
        <f t="shared" si="83"/>
        <v>0</v>
      </c>
      <c r="O202" s="11"/>
      <c r="P202" s="7">
        <v>91683</v>
      </c>
      <c r="Q202" s="2"/>
      <c r="R202" s="6">
        <f t="shared" si="84"/>
        <v>1.282031205254521E-2</v>
      </c>
      <c r="S202" s="2"/>
      <c r="T202" s="7">
        <v>92432</v>
      </c>
      <c r="U202" s="2"/>
      <c r="V202" s="6">
        <f t="shared" si="85"/>
        <v>7.3074528239535702E-3</v>
      </c>
      <c r="W202" s="2"/>
      <c r="X202" s="7">
        <f t="shared" si="86"/>
        <v>-749</v>
      </c>
      <c r="Y202" s="2"/>
      <c r="Z202" s="6">
        <f t="shared" si="87"/>
        <v>-8.1032542842305703E-3</v>
      </c>
    </row>
    <row r="203" spans="1:26" s="28" customFormat="1" outlineLevel="1" collapsed="1" x14ac:dyDescent="0.25">
      <c r="A203" s="29"/>
      <c r="B203" s="14" t="str">
        <f>CONCATENATE("     ","Inventory Adjustment                              ")</f>
        <v xml:space="preserve">     Inventory Adjustment                              </v>
      </c>
      <c r="C203" s="14"/>
      <c r="D203" s="1">
        <f>SUM(OSRRefD22_14x_0)</f>
        <v>3350</v>
      </c>
      <c r="E203" s="1"/>
      <c r="F203" s="5">
        <f t="shared" si="80"/>
        <v>6.1340669360004227E-3</v>
      </c>
      <c r="G203" s="1"/>
      <c r="H203" s="1">
        <f>SUM(OSRRefH22_14x_0)</f>
        <v>4350</v>
      </c>
      <c r="I203" s="1"/>
      <c r="J203" s="5">
        <f t="shared" si="81"/>
        <v>2.832610312264356E-3</v>
      </c>
      <c r="K203" s="1"/>
      <c r="L203" s="1">
        <f t="shared" si="82"/>
        <v>-1000</v>
      </c>
      <c r="M203" s="1"/>
      <c r="N203" s="5">
        <f t="shared" si="83"/>
        <v>-0.22988505747126436</v>
      </c>
      <c r="O203" s="14"/>
      <c r="P203" s="1">
        <f>SUM(OSRRefP22_14x_0)</f>
        <v>31800</v>
      </c>
      <c r="Q203" s="1"/>
      <c r="R203" s="5">
        <f t="shared" si="84"/>
        <v>4.4466904799247151E-3</v>
      </c>
      <c r="S203" s="1"/>
      <c r="T203" s="1">
        <f>SUM(OSRRefT22_14x_0)</f>
        <v>39800</v>
      </c>
      <c r="U203" s="1"/>
      <c r="V203" s="5">
        <f t="shared" si="85"/>
        <v>3.1464927989587163E-3</v>
      </c>
      <c r="W203" s="1"/>
      <c r="X203" s="1">
        <f t="shared" si="86"/>
        <v>-8000</v>
      </c>
      <c r="Y203" s="1"/>
      <c r="Z203" s="5">
        <f t="shared" si="87"/>
        <v>-0.20100502512562815</v>
      </c>
    </row>
    <row r="204" spans="1:26" s="24" customFormat="1" hidden="1" outlineLevel="2" x14ac:dyDescent="0.25">
      <c r="A204" s="27"/>
      <c r="B204" s="11" t="str">
        <f>CONCATENATE("          ", "6408", " - ", "INVENTORY ADJUSTMENT")</f>
        <v xml:space="preserve">          6408 - INVENTORY ADJUSTMENT</v>
      </c>
      <c r="C204" s="11"/>
      <c r="D204" s="7">
        <v>3350</v>
      </c>
      <c r="E204" s="2"/>
      <c r="F204" s="6">
        <f t="shared" si="80"/>
        <v>6.1340669360004227E-3</v>
      </c>
      <c r="G204" s="2"/>
      <c r="H204" s="7">
        <v>4350</v>
      </c>
      <c r="I204" s="2"/>
      <c r="J204" s="6">
        <f t="shared" si="81"/>
        <v>2.832610312264356E-3</v>
      </c>
      <c r="K204" s="2"/>
      <c r="L204" s="7">
        <f t="shared" si="82"/>
        <v>-1000</v>
      </c>
      <c r="M204" s="2"/>
      <c r="N204" s="6">
        <f t="shared" si="83"/>
        <v>-0.22988505747126436</v>
      </c>
      <c r="O204" s="11"/>
      <c r="P204" s="7">
        <v>31800</v>
      </c>
      <c r="Q204" s="2"/>
      <c r="R204" s="6">
        <f t="shared" si="84"/>
        <v>4.4466904799247151E-3</v>
      </c>
      <c r="S204" s="2"/>
      <c r="T204" s="7">
        <v>39800</v>
      </c>
      <c r="U204" s="2"/>
      <c r="V204" s="6">
        <f t="shared" si="85"/>
        <v>3.1464927989587163E-3</v>
      </c>
      <c r="W204" s="2"/>
      <c r="X204" s="7">
        <f t="shared" si="86"/>
        <v>-8000</v>
      </c>
      <c r="Y204" s="2"/>
      <c r="Z204" s="6">
        <f t="shared" si="87"/>
        <v>-0.20100502512562815</v>
      </c>
    </row>
    <row r="205" spans="1:26" s="28" customFormat="1" outlineLevel="1" collapsed="1" x14ac:dyDescent="0.25">
      <c r="A205" s="29"/>
      <c r="B205" s="14" t="str">
        <f>CONCATENATE("     ","Professional Services                             ")</f>
        <v xml:space="preserve">     Professional Services                             </v>
      </c>
      <c r="C205" s="14"/>
      <c r="D205" s="1">
        <f>SUM(OSRRefD22_15x_0)</f>
        <v>0</v>
      </c>
      <c r="E205" s="1"/>
      <c r="F205" s="5">
        <f t="shared" si="80"/>
        <v>0</v>
      </c>
      <c r="G205" s="1"/>
      <c r="H205" s="1">
        <f>SUM(OSRRefH22_15x_0)</f>
        <v>0</v>
      </c>
      <c r="I205" s="1"/>
      <c r="J205" s="5">
        <f t="shared" si="81"/>
        <v>0</v>
      </c>
      <c r="K205" s="1"/>
      <c r="L205" s="1">
        <f t="shared" si="82"/>
        <v>0</v>
      </c>
      <c r="M205" s="1"/>
      <c r="N205" s="5">
        <f t="shared" si="83"/>
        <v>0</v>
      </c>
      <c r="O205" s="14"/>
      <c r="P205" s="1">
        <f>SUM(OSRRefP22_15x_0)</f>
        <v>0</v>
      </c>
      <c r="Q205" s="1"/>
      <c r="R205" s="5">
        <f t="shared" si="84"/>
        <v>0</v>
      </c>
      <c r="S205" s="1"/>
      <c r="T205" s="1">
        <f>SUM(OSRRefT22_15x_0)</f>
        <v>7050</v>
      </c>
      <c r="U205" s="1"/>
      <c r="V205" s="5">
        <f t="shared" si="85"/>
        <v>5.5735613649896866E-4</v>
      </c>
      <c r="W205" s="1"/>
      <c r="X205" s="1">
        <f t="shared" si="86"/>
        <v>-7050</v>
      </c>
      <c r="Y205" s="1"/>
      <c r="Z205" s="5">
        <f t="shared" si="87"/>
        <v>-1</v>
      </c>
    </row>
    <row r="206" spans="1:26" s="24" customFormat="1" hidden="1" outlineLevel="2" x14ac:dyDescent="0.25">
      <c r="A206" s="27"/>
      <c r="B206" s="11" t="str">
        <f>CONCATENATE("          ", "6336", " - ", "PROFESSIONAL SERVICES")</f>
        <v xml:space="preserve">          6336 - PROFESSIONAL SERVICES</v>
      </c>
      <c r="C206" s="11"/>
      <c r="D206" s="7"/>
      <c r="E206" s="2"/>
      <c r="F206" s="6">
        <f t="shared" si="80"/>
        <v>0</v>
      </c>
      <c r="G206" s="2"/>
      <c r="H206" s="7">
        <v>0</v>
      </c>
      <c r="I206" s="2"/>
      <c r="J206" s="6">
        <f t="shared" si="81"/>
        <v>0</v>
      </c>
      <c r="K206" s="2"/>
      <c r="L206" s="7">
        <f t="shared" si="82"/>
        <v>0</v>
      </c>
      <c r="M206" s="2"/>
      <c r="N206" s="6">
        <f t="shared" si="83"/>
        <v>0</v>
      </c>
      <c r="O206" s="11"/>
      <c r="P206" s="7"/>
      <c r="Q206" s="2"/>
      <c r="R206" s="6">
        <f t="shared" si="84"/>
        <v>0</v>
      </c>
      <c r="S206" s="2"/>
      <c r="T206" s="7">
        <v>7050</v>
      </c>
      <c r="U206" s="2"/>
      <c r="V206" s="6">
        <f t="shared" si="85"/>
        <v>5.5735613649896866E-4</v>
      </c>
      <c r="W206" s="2"/>
      <c r="X206" s="7">
        <f t="shared" si="86"/>
        <v>-7050</v>
      </c>
      <c r="Y206" s="2"/>
      <c r="Z206" s="6">
        <f t="shared" si="87"/>
        <v>-1</v>
      </c>
    </row>
    <row r="207" spans="1:26" s="28" customFormat="1" outlineLevel="1" collapsed="1" x14ac:dyDescent="0.25">
      <c r="A207" s="29"/>
      <c r="B207" s="14" t="str">
        <f>CONCATENATE("     ","R/H Commissions                                   ")</f>
        <v xml:space="preserve">     R/H Commissions                                   </v>
      </c>
      <c r="C207" s="14"/>
      <c r="D207" s="1">
        <f>SUM(OSRRefD22_16x_0)</f>
        <v>6342.49</v>
      </c>
      <c r="E207" s="1"/>
      <c r="F207" s="5">
        <f t="shared" si="80"/>
        <v>1.1613509910720392E-2</v>
      </c>
      <c r="G207" s="1"/>
      <c r="H207" s="1">
        <f>SUM(OSRRefH22_16x_0)</f>
        <v>44600</v>
      </c>
      <c r="I207" s="1"/>
      <c r="J207" s="5">
        <f t="shared" si="81"/>
        <v>2.9042395385515007E-2</v>
      </c>
      <c r="K207" s="1"/>
      <c r="L207" s="1">
        <f t="shared" si="82"/>
        <v>-38257.51</v>
      </c>
      <c r="M207" s="1"/>
      <c r="N207" s="5">
        <f t="shared" si="83"/>
        <v>-0.85779170403587446</v>
      </c>
      <c r="O207" s="14"/>
      <c r="P207" s="1">
        <f>SUM(OSRRefP22_16x_0)</f>
        <v>52255.85</v>
      </c>
      <c r="Q207" s="1"/>
      <c r="R207" s="5">
        <f t="shared" si="84"/>
        <v>7.3070940476532686E-3</v>
      </c>
      <c r="S207" s="1"/>
      <c r="T207" s="1">
        <f>SUM(OSRRefT22_16x_0)</f>
        <v>213902</v>
      </c>
      <c r="U207" s="1"/>
      <c r="V207" s="5">
        <f t="shared" si="85"/>
        <v>1.691058046941878E-2</v>
      </c>
      <c r="W207" s="1"/>
      <c r="X207" s="1">
        <f t="shared" si="86"/>
        <v>-161646.15</v>
      </c>
      <c r="Y207" s="1"/>
      <c r="Z207" s="5">
        <f t="shared" si="87"/>
        <v>-0.75570191022056832</v>
      </c>
    </row>
    <row r="208" spans="1:26" s="24" customFormat="1" hidden="1" outlineLevel="2" x14ac:dyDescent="0.25">
      <c r="A208" s="27"/>
      <c r="B208" s="11" t="str">
        <f>CONCATENATE("          ", "6387", " - ", "COMMISSION DUE HOUSING")</f>
        <v xml:space="preserve">          6387 - COMMISSION DUE HOUSING</v>
      </c>
      <c r="C208" s="11"/>
      <c r="D208" s="7">
        <v>6342.49</v>
      </c>
      <c r="E208" s="2"/>
      <c r="F208" s="6">
        <f t="shared" si="80"/>
        <v>1.1613509910720392E-2</v>
      </c>
      <c r="G208" s="2"/>
      <c r="H208" s="7">
        <v>44600</v>
      </c>
      <c r="I208" s="2"/>
      <c r="J208" s="6">
        <f t="shared" si="81"/>
        <v>2.9042395385515007E-2</v>
      </c>
      <c r="K208" s="2"/>
      <c r="L208" s="7">
        <f t="shared" si="82"/>
        <v>-38257.51</v>
      </c>
      <c r="M208" s="2"/>
      <c r="N208" s="6">
        <f t="shared" si="83"/>
        <v>-0.85779170403587446</v>
      </c>
      <c r="O208" s="11"/>
      <c r="P208" s="7">
        <v>52255.85</v>
      </c>
      <c r="Q208" s="2"/>
      <c r="R208" s="6">
        <f t="shared" si="84"/>
        <v>7.3070940476532686E-3</v>
      </c>
      <c r="S208" s="2"/>
      <c r="T208" s="7">
        <v>213902</v>
      </c>
      <c r="U208" s="2"/>
      <c r="V208" s="6">
        <f t="shared" si="85"/>
        <v>1.691058046941878E-2</v>
      </c>
      <c r="W208" s="2"/>
      <c r="X208" s="7">
        <f t="shared" si="86"/>
        <v>-161646.15</v>
      </c>
      <c r="Y208" s="2"/>
      <c r="Z208" s="6">
        <f t="shared" si="87"/>
        <v>-0.75570191022056832</v>
      </c>
    </row>
    <row r="209" spans="1:26" s="28" customFormat="1" outlineLevel="1" collapsed="1" x14ac:dyDescent="0.25">
      <c r="A209" s="29"/>
      <c r="B209" s="14" t="str">
        <f>CONCATENATE("     ","Rent                                              ")</f>
        <v xml:space="preserve">     Rent                                              </v>
      </c>
      <c r="C209" s="14"/>
      <c r="D209" s="1">
        <f>SUM(OSRRefD22_17x_0)</f>
        <v>6900</v>
      </c>
      <c r="E209" s="1"/>
      <c r="F209" s="5">
        <f t="shared" si="80"/>
        <v>1.2634346823403855E-2</v>
      </c>
      <c r="G209" s="1"/>
      <c r="H209" s="1">
        <f>SUM(OSRRefH22_17x_0)</f>
        <v>8843</v>
      </c>
      <c r="I209" s="1"/>
      <c r="J209" s="5">
        <f t="shared" si="81"/>
        <v>5.7583386187020002E-3</v>
      </c>
      <c r="K209" s="1"/>
      <c r="L209" s="1">
        <f t="shared" si="82"/>
        <v>-1943</v>
      </c>
      <c r="M209" s="1"/>
      <c r="N209" s="5">
        <f t="shared" si="83"/>
        <v>-0.21972181386407327</v>
      </c>
      <c r="O209" s="14"/>
      <c r="P209" s="1">
        <f>SUM(OSRRefP22_17x_0)</f>
        <v>66300</v>
      </c>
      <c r="Q209" s="1"/>
      <c r="R209" s="5">
        <f t="shared" si="84"/>
        <v>9.2709301515411513E-3</v>
      </c>
      <c r="S209" s="1"/>
      <c r="T209" s="1">
        <f>SUM(OSRRefT22_17x_0)</f>
        <v>70745</v>
      </c>
      <c r="U209" s="1"/>
      <c r="V209" s="5">
        <f t="shared" si="85"/>
        <v>5.5929304789531257E-3</v>
      </c>
      <c r="W209" s="1"/>
      <c r="X209" s="1">
        <f t="shared" si="86"/>
        <v>-4445</v>
      </c>
      <c r="Y209" s="1"/>
      <c r="Z209" s="5">
        <f t="shared" si="87"/>
        <v>-6.2831295497915052E-2</v>
      </c>
    </row>
    <row r="210" spans="1:26" s="24" customFormat="1" hidden="1" outlineLevel="2" x14ac:dyDescent="0.25">
      <c r="A210" s="27"/>
      <c r="B210" s="11" t="str">
        <f>CONCATENATE("          ", "6273", " - ", "RENT")</f>
        <v xml:space="preserve">          6273 - RENT</v>
      </c>
      <c r="C210" s="11"/>
      <c r="D210" s="7">
        <v>6900</v>
      </c>
      <c r="E210" s="2"/>
      <c r="F210" s="6">
        <f t="shared" si="80"/>
        <v>1.2634346823403855E-2</v>
      </c>
      <c r="G210" s="2"/>
      <c r="H210" s="7">
        <v>8843</v>
      </c>
      <c r="I210" s="2"/>
      <c r="J210" s="6">
        <f t="shared" si="81"/>
        <v>5.7583386187020002E-3</v>
      </c>
      <c r="K210" s="2"/>
      <c r="L210" s="7">
        <f t="shared" si="82"/>
        <v>-1943</v>
      </c>
      <c r="M210" s="2"/>
      <c r="N210" s="6">
        <f t="shared" si="83"/>
        <v>-0.21972181386407327</v>
      </c>
      <c r="O210" s="11"/>
      <c r="P210" s="7">
        <v>66300</v>
      </c>
      <c r="Q210" s="2"/>
      <c r="R210" s="6">
        <f t="shared" si="84"/>
        <v>9.2709301515411513E-3</v>
      </c>
      <c r="S210" s="2"/>
      <c r="T210" s="7">
        <v>70745</v>
      </c>
      <c r="U210" s="2"/>
      <c r="V210" s="6">
        <f t="shared" si="85"/>
        <v>5.5929304789531257E-3</v>
      </c>
      <c r="W210" s="2"/>
      <c r="X210" s="7">
        <f t="shared" si="86"/>
        <v>-4445</v>
      </c>
      <c r="Y210" s="2"/>
      <c r="Z210" s="6">
        <f t="shared" si="87"/>
        <v>-6.2831295497915052E-2</v>
      </c>
    </row>
    <row r="211" spans="1:26" s="28" customFormat="1" outlineLevel="1" collapsed="1" x14ac:dyDescent="0.25">
      <c r="A211" s="29"/>
      <c r="B211" s="14" t="str">
        <f>CONCATENATE("     ","Repair and Maintenance                            ")</f>
        <v xml:space="preserve">     Repair and Maintenance                            </v>
      </c>
      <c r="C211" s="14"/>
      <c r="D211" s="1">
        <f>SUM(OSRRefD22_18x_0)</f>
        <v>21860.95</v>
      </c>
      <c r="E211" s="1"/>
      <c r="F211" s="5">
        <f t="shared" si="80"/>
        <v>4.0028815099868192E-2</v>
      </c>
      <c r="G211" s="1"/>
      <c r="H211" s="1">
        <f>SUM(OSRRefH22_18x_0)</f>
        <v>60069</v>
      </c>
      <c r="I211" s="1"/>
      <c r="J211" s="5">
        <f t="shared" si="81"/>
        <v>3.911541812584083E-2</v>
      </c>
      <c r="K211" s="1"/>
      <c r="L211" s="1">
        <f t="shared" si="82"/>
        <v>-38208.050000000003</v>
      </c>
      <c r="M211" s="1"/>
      <c r="N211" s="5">
        <f t="shared" si="83"/>
        <v>-0.63606935357672012</v>
      </c>
      <c r="O211" s="14"/>
      <c r="P211" s="1">
        <f>SUM(OSRRefP22_18x_0)</f>
        <v>298334.94000000006</v>
      </c>
      <c r="Q211" s="1"/>
      <c r="R211" s="5">
        <f t="shared" si="84"/>
        <v>4.1717079796443755E-2</v>
      </c>
      <c r="S211" s="1"/>
      <c r="T211" s="1">
        <f>SUM(OSRRefT22_18x_0)</f>
        <v>391762</v>
      </c>
      <c r="U211" s="1"/>
      <c r="V211" s="5">
        <f t="shared" si="85"/>
        <v>3.0971766630795594E-2</v>
      </c>
      <c r="W211" s="1"/>
      <c r="X211" s="1">
        <f t="shared" si="86"/>
        <v>-93427.059999999939</v>
      </c>
      <c r="Y211" s="1"/>
      <c r="Z211" s="5">
        <f t="shared" si="87"/>
        <v>-0.23847912763361412</v>
      </c>
    </row>
    <row r="212" spans="1:26" s="24" customFormat="1" hidden="1" outlineLevel="2" x14ac:dyDescent="0.25">
      <c r="A212" s="27"/>
      <c r="B212" s="11" t="str">
        <f>CONCATENATE("          ", "6371", " - ", "COMPUTER SOFTWARE MAINTENANCE")</f>
        <v xml:space="preserve">          6371 - COMPUTER SOFTWARE MAINTENANCE</v>
      </c>
      <c r="C212" s="11"/>
      <c r="D212" s="7">
        <v>5533.52</v>
      </c>
      <c r="E212" s="2"/>
      <c r="F212" s="6">
        <f t="shared" si="80"/>
        <v>1.0132233454237928E-2</v>
      </c>
      <c r="G212" s="2"/>
      <c r="H212" s="7">
        <v>40245</v>
      </c>
      <c r="I212" s="2"/>
      <c r="J212" s="6">
        <f t="shared" si="81"/>
        <v>2.6206529199328508E-2</v>
      </c>
      <c r="K212" s="2"/>
      <c r="L212" s="7">
        <f t="shared" si="82"/>
        <v>-34711.479999999996</v>
      </c>
      <c r="M212" s="2"/>
      <c r="N212" s="6">
        <f t="shared" si="83"/>
        <v>-0.86250416200770275</v>
      </c>
      <c r="O212" s="11"/>
      <c r="P212" s="7">
        <v>70969.990000000005</v>
      </c>
      <c r="Q212" s="2"/>
      <c r="R212" s="6">
        <f t="shared" si="84"/>
        <v>9.9239490218035308E-3</v>
      </c>
      <c r="S212" s="2"/>
      <c r="T212" s="7">
        <v>226788</v>
      </c>
      <c r="U212" s="2"/>
      <c r="V212" s="6">
        <f t="shared" si="85"/>
        <v>1.7929316806287673E-2</v>
      </c>
      <c r="W212" s="2"/>
      <c r="X212" s="7">
        <f t="shared" si="86"/>
        <v>-155818.01</v>
      </c>
      <c r="Y212" s="2"/>
      <c r="Z212" s="6">
        <f t="shared" si="87"/>
        <v>-0.68706461541175023</v>
      </c>
    </row>
    <row r="213" spans="1:26" s="24" customFormat="1" hidden="1" outlineLevel="2" x14ac:dyDescent="0.25">
      <c r="A213" s="27"/>
      <c r="B213" s="11" t="str">
        <f>CONCATENATE("          ", "6372", " - ", "COMPUTER HARDWARE MAINTENANCE")</f>
        <v xml:space="preserve">          6372 - COMPUTER HARDWARE MAINTENANCE</v>
      </c>
      <c r="C213" s="11"/>
      <c r="D213" s="7">
        <v>-1.1499999999999999</v>
      </c>
      <c r="E213" s="2"/>
      <c r="F213" s="6">
        <f t="shared" si="80"/>
        <v>-2.1057244705673088E-6</v>
      </c>
      <c r="G213" s="2"/>
      <c r="H213" s="7">
        <v>1500</v>
      </c>
      <c r="I213" s="2"/>
      <c r="J213" s="6">
        <f t="shared" si="81"/>
        <v>9.7676217664288147E-4</v>
      </c>
      <c r="K213" s="2"/>
      <c r="L213" s="7">
        <f t="shared" si="82"/>
        <v>-1501.15</v>
      </c>
      <c r="M213" s="2"/>
      <c r="N213" s="6">
        <f t="shared" si="83"/>
        <v>-1.0007666666666668</v>
      </c>
      <c r="O213" s="11"/>
      <c r="P213" s="7">
        <v>-1.1499999999999999</v>
      </c>
      <c r="Q213" s="2"/>
      <c r="R213" s="6">
        <f t="shared" si="84"/>
        <v>-1.608079890538812E-7</v>
      </c>
      <c r="S213" s="2"/>
      <c r="T213" s="7">
        <v>15520</v>
      </c>
      <c r="U213" s="2"/>
      <c r="V213" s="6">
        <f t="shared" si="85"/>
        <v>1.2269740763778713E-3</v>
      </c>
      <c r="W213" s="2"/>
      <c r="X213" s="7">
        <f t="shared" si="86"/>
        <v>-15521.15</v>
      </c>
      <c r="Y213" s="2"/>
      <c r="Z213" s="6">
        <f t="shared" si="87"/>
        <v>-1.0000740979381444</v>
      </c>
    </row>
    <row r="214" spans="1:26" s="24" customFormat="1" hidden="1" outlineLevel="2" x14ac:dyDescent="0.25">
      <c r="A214" s="27"/>
      <c r="B214" s="11" t="str">
        <f>CONCATENATE("          ", "6373", " - ", "MAINTENANCE CONTRACTS")</f>
        <v xml:space="preserve">          6373 - MAINTENANCE CONTRACTS</v>
      </c>
      <c r="C214" s="11"/>
      <c r="D214" s="7">
        <v>3382.04</v>
      </c>
      <c r="E214" s="2"/>
      <c r="F214" s="6">
        <f t="shared" si="80"/>
        <v>6.1927342508151847E-3</v>
      </c>
      <c r="G214" s="2"/>
      <c r="H214" s="7">
        <v>7898</v>
      </c>
      <c r="I214" s="2"/>
      <c r="J214" s="6">
        <f t="shared" si="81"/>
        <v>5.1429784474169848E-3</v>
      </c>
      <c r="K214" s="2"/>
      <c r="L214" s="7">
        <f t="shared" si="82"/>
        <v>-4515.96</v>
      </c>
      <c r="M214" s="2"/>
      <c r="N214" s="6">
        <f t="shared" si="83"/>
        <v>-0.5717852620916688</v>
      </c>
      <c r="O214" s="11"/>
      <c r="P214" s="7">
        <v>178743.07</v>
      </c>
      <c r="Q214" s="2"/>
      <c r="R214" s="6">
        <f t="shared" si="84"/>
        <v>2.4994185777406197E-2</v>
      </c>
      <c r="S214" s="2"/>
      <c r="T214" s="7">
        <v>58584</v>
      </c>
      <c r="U214" s="2"/>
      <c r="V214" s="6">
        <f t="shared" si="85"/>
        <v>4.6315109078944082E-3</v>
      </c>
      <c r="W214" s="2"/>
      <c r="X214" s="7">
        <f t="shared" si="86"/>
        <v>120159.07</v>
      </c>
      <c r="Y214" s="2"/>
      <c r="Z214" s="6">
        <f t="shared" si="87"/>
        <v>2.0510560904001092</v>
      </c>
    </row>
    <row r="215" spans="1:26" s="24" customFormat="1" hidden="1" outlineLevel="2" x14ac:dyDescent="0.25">
      <c r="A215" s="27"/>
      <c r="B215" s="11" t="str">
        <f>CONCATENATE("          ", "6375", " - ", "OUTSIDE REPAIRS &amp; MAINTENANCE")</f>
        <v xml:space="preserve">          6375 - OUTSIDE REPAIRS &amp; MAINTENANCE</v>
      </c>
      <c r="C215" s="11"/>
      <c r="D215" s="7">
        <v>12946.54</v>
      </c>
      <c r="E215" s="2"/>
      <c r="F215" s="6">
        <f t="shared" si="80"/>
        <v>2.3705953119285646E-2</v>
      </c>
      <c r="G215" s="2"/>
      <c r="H215" s="7">
        <v>10426</v>
      </c>
      <c r="I215" s="2"/>
      <c r="J215" s="6">
        <f t="shared" si="81"/>
        <v>6.7891483024524546E-3</v>
      </c>
      <c r="K215" s="2"/>
      <c r="L215" s="7">
        <f t="shared" si="82"/>
        <v>2520.5400000000009</v>
      </c>
      <c r="M215" s="2"/>
      <c r="N215" s="6">
        <f t="shared" si="83"/>
        <v>0.24175522731632465</v>
      </c>
      <c r="O215" s="11"/>
      <c r="P215" s="7">
        <v>48623.03</v>
      </c>
      <c r="Q215" s="2"/>
      <c r="R215" s="6">
        <f t="shared" si="84"/>
        <v>6.7991058052230763E-3</v>
      </c>
      <c r="S215" s="2"/>
      <c r="T215" s="7">
        <v>90870</v>
      </c>
      <c r="U215" s="2"/>
      <c r="V215" s="6">
        <f t="shared" si="85"/>
        <v>7.1839648402356425E-3</v>
      </c>
      <c r="W215" s="2"/>
      <c r="X215" s="7">
        <f t="shared" si="86"/>
        <v>-42246.97</v>
      </c>
      <c r="Y215" s="2"/>
      <c r="Z215" s="6">
        <f t="shared" si="87"/>
        <v>-0.46491658413117642</v>
      </c>
    </row>
    <row r="216" spans="1:26" s="28" customFormat="1" outlineLevel="1" collapsed="1" x14ac:dyDescent="0.25">
      <c r="A216" s="29"/>
      <c r="B216" s="14" t="str">
        <f>CONCATENATE("     ","Royalty &amp; Commissions                             ")</f>
        <v xml:space="preserve">     Royalty &amp; Commissions                             </v>
      </c>
      <c r="C216" s="14"/>
      <c r="D216" s="1">
        <f>SUM(OSRRefD22_19x_0)</f>
        <v>468.34</v>
      </c>
      <c r="E216" s="1"/>
      <c r="F216" s="5">
        <f t="shared" ref="F216:F220" si="88">IF(D$12=0,0,D216/D$12)</f>
        <v>8.5756086830042911E-4</v>
      </c>
      <c r="G216" s="1"/>
      <c r="H216" s="1">
        <f>SUM(OSRRefH22_19x_0)</f>
        <v>17708</v>
      </c>
      <c r="I216" s="1"/>
      <c r="J216" s="5">
        <f t="shared" ref="J216:J220" si="89">IF(H$12=0,0,H216/H$12)</f>
        <v>1.153100308266143E-2</v>
      </c>
      <c r="K216" s="1"/>
      <c r="L216" s="1">
        <f t="shared" ref="L216:L220" si="90">+D216-H216</f>
        <v>-17239.66</v>
      </c>
      <c r="M216" s="1"/>
      <c r="N216" s="5">
        <f t="shared" ref="N216:N220" si="91">IF(H216=0,0,L216/H216)</f>
        <v>-0.97355206686243501</v>
      </c>
      <c r="O216" s="14"/>
      <c r="P216" s="1">
        <f>SUM(OSRRefP22_19x_0)</f>
        <v>37019.69</v>
      </c>
      <c r="Q216" s="1"/>
      <c r="R216" s="5">
        <f t="shared" ref="R216:R220" si="92">IF(P$12=0,0,P216/P$12)</f>
        <v>5.1765755689548495E-3</v>
      </c>
      <c r="S216" s="1"/>
      <c r="T216" s="1">
        <f>SUM(OSRRefT22_19x_0)</f>
        <v>75741</v>
      </c>
      <c r="U216" s="1"/>
      <c r="V216" s="5">
        <f t="shared" ref="V216:V220" si="93">IF(T$12=0,0,T216/T$12)</f>
        <v>5.9879022885912601E-3</v>
      </c>
      <c r="W216" s="1"/>
      <c r="X216" s="1">
        <f t="shared" ref="X216:X220" si="94">+P216-T216</f>
        <v>-38721.31</v>
      </c>
      <c r="Y216" s="1"/>
      <c r="Z216" s="5">
        <f t="shared" ref="Z216:Z220" si="95">IF(T216=0,0,X216/T216)</f>
        <v>-0.51123314981317913</v>
      </c>
    </row>
    <row r="217" spans="1:26" s="24" customFormat="1" hidden="1" outlineLevel="2" x14ac:dyDescent="0.25">
      <c r="A217" s="27"/>
      <c r="B217" s="11" t="str">
        <f>CONCATENATE("          ", "6252", " - ", "ROYALTY DUE CSTV")</f>
        <v xml:space="preserve">          6252 - ROYALTY DUE CSTV</v>
      </c>
      <c r="C217" s="11"/>
      <c r="D217" s="7"/>
      <c r="E217" s="2"/>
      <c r="F217" s="6">
        <f t="shared" si="88"/>
        <v>0</v>
      </c>
      <c r="G217" s="2"/>
      <c r="H217" s="7">
        <v>1085</v>
      </c>
      <c r="I217" s="2"/>
      <c r="J217" s="6">
        <f t="shared" si="89"/>
        <v>7.0652464110501753E-4</v>
      </c>
      <c r="K217" s="2"/>
      <c r="L217" s="7">
        <f t="shared" si="90"/>
        <v>-1085</v>
      </c>
      <c r="M217" s="2"/>
      <c r="N217" s="6">
        <f t="shared" si="91"/>
        <v>-1</v>
      </c>
      <c r="O217" s="11"/>
      <c r="P217" s="7"/>
      <c r="Q217" s="2"/>
      <c r="R217" s="6">
        <f t="shared" si="92"/>
        <v>0</v>
      </c>
      <c r="S217" s="2"/>
      <c r="T217" s="7">
        <v>8680</v>
      </c>
      <c r="U217" s="2"/>
      <c r="V217" s="6">
        <f t="shared" si="93"/>
        <v>6.8622003756185074E-4</v>
      </c>
      <c r="W217" s="2"/>
      <c r="X217" s="7">
        <f t="shared" si="94"/>
        <v>-8680</v>
      </c>
      <c r="Y217" s="2"/>
      <c r="Z217" s="6">
        <f t="shared" si="95"/>
        <v>-1</v>
      </c>
    </row>
    <row r="218" spans="1:26" s="24" customFormat="1" hidden="1" outlineLevel="2" x14ac:dyDescent="0.25">
      <c r="A218" s="27"/>
      <c r="B218" s="11" t="str">
        <f>CONCATENATE("          ", "6253", " - ", "ROYALTY DUE ATHLETICS-LRG")</f>
        <v xml:space="preserve">          6253 - ROYALTY DUE ATHLETICS-LRG</v>
      </c>
      <c r="C218" s="11"/>
      <c r="D218" s="7"/>
      <c r="E218" s="2"/>
      <c r="F218" s="6">
        <f t="shared" si="88"/>
        <v>0</v>
      </c>
      <c r="G218" s="2"/>
      <c r="H218" s="7">
        <v>4037</v>
      </c>
      <c r="I218" s="2"/>
      <c r="J218" s="6">
        <f t="shared" si="89"/>
        <v>2.6287926047382083E-3</v>
      </c>
      <c r="K218" s="2"/>
      <c r="L218" s="7">
        <f t="shared" si="90"/>
        <v>-4037</v>
      </c>
      <c r="M218" s="2"/>
      <c r="N218" s="6">
        <f t="shared" si="91"/>
        <v>-1</v>
      </c>
      <c r="O218" s="11"/>
      <c r="P218" s="7">
        <v>26197.58</v>
      </c>
      <c r="Q218" s="2"/>
      <c r="R218" s="6">
        <f t="shared" si="92"/>
        <v>3.6632870938071113E-3</v>
      </c>
      <c r="S218" s="2"/>
      <c r="T218" s="7">
        <v>32296</v>
      </c>
      <c r="U218" s="2"/>
      <c r="V218" s="6">
        <f t="shared" si="93"/>
        <v>2.5532445084213745E-3</v>
      </c>
      <c r="W218" s="2"/>
      <c r="X218" s="7">
        <f t="shared" si="94"/>
        <v>-6098.4199999999983</v>
      </c>
      <c r="Y218" s="2"/>
      <c r="Z218" s="6">
        <f t="shared" si="95"/>
        <v>-0.18882895714639578</v>
      </c>
    </row>
    <row r="219" spans="1:26" s="24" customFormat="1" hidden="1" outlineLevel="2" x14ac:dyDescent="0.25">
      <c r="A219" s="27"/>
      <c r="B219" s="11" t="str">
        <f>CONCATENATE("          ", "6254", " - ", "ROYALTY &amp; COMMISSIONS")</f>
        <v xml:space="preserve">          6254 - ROYALTY &amp; COMMISSIONS</v>
      </c>
      <c r="C219" s="11"/>
      <c r="D219" s="7"/>
      <c r="E219" s="2"/>
      <c r="F219" s="6">
        <f t="shared" si="88"/>
        <v>0</v>
      </c>
      <c r="G219" s="2"/>
      <c r="H219" s="7">
        <v>1149</v>
      </c>
      <c r="I219" s="2"/>
      <c r="J219" s="6">
        <f t="shared" si="89"/>
        <v>7.4819982730844718E-4</v>
      </c>
      <c r="K219" s="2"/>
      <c r="L219" s="7">
        <f t="shared" si="90"/>
        <v>-1149</v>
      </c>
      <c r="M219" s="2"/>
      <c r="N219" s="6">
        <f t="shared" si="91"/>
        <v>-1</v>
      </c>
      <c r="O219" s="11"/>
      <c r="P219" s="7">
        <v>185.7</v>
      </c>
      <c r="Q219" s="2"/>
      <c r="R219" s="6">
        <f t="shared" si="92"/>
        <v>2.5966994406352819E-5</v>
      </c>
      <c r="S219" s="2"/>
      <c r="T219" s="7">
        <v>9192</v>
      </c>
      <c r="U219" s="2"/>
      <c r="V219" s="6">
        <f t="shared" si="93"/>
        <v>7.2669753286503823E-4</v>
      </c>
      <c r="W219" s="2"/>
      <c r="X219" s="7">
        <f t="shared" si="94"/>
        <v>-9006.2999999999993</v>
      </c>
      <c r="Y219" s="2"/>
      <c r="Z219" s="6">
        <f t="shared" si="95"/>
        <v>-0.9797976501305482</v>
      </c>
    </row>
    <row r="220" spans="1:26" s="24" customFormat="1" hidden="1" outlineLevel="2" x14ac:dyDescent="0.25">
      <c r="A220" s="27"/>
      <c r="B220" s="11" t="str">
        <f>CONCATENATE("          ", "6259", " - ", "ROYALTY &amp; COMMISSIONS")</f>
        <v xml:space="preserve">          6259 - ROYALTY &amp; COMMISSIONS</v>
      </c>
      <c r="C220" s="11"/>
      <c r="D220" s="7">
        <v>468.34</v>
      </c>
      <c r="E220" s="2"/>
      <c r="F220" s="6">
        <f t="shared" si="88"/>
        <v>8.5756086830042911E-4</v>
      </c>
      <c r="G220" s="2"/>
      <c r="H220" s="7">
        <v>11437</v>
      </c>
      <c r="I220" s="2"/>
      <c r="J220" s="6">
        <f t="shared" si="89"/>
        <v>7.4474860095097564E-3</v>
      </c>
      <c r="K220" s="2"/>
      <c r="L220" s="7">
        <f t="shared" si="90"/>
        <v>-10968.66</v>
      </c>
      <c r="M220" s="2"/>
      <c r="N220" s="6">
        <f t="shared" si="91"/>
        <v>-0.95905045029290892</v>
      </c>
      <c r="O220" s="11"/>
      <c r="P220" s="7">
        <v>10636.41</v>
      </c>
      <c r="Q220" s="2"/>
      <c r="R220" s="6">
        <f t="shared" si="92"/>
        <v>1.4873214807413851E-3</v>
      </c>
      <c r="S220" s="2"/>
      <c r="T220" s="7">
        <v>25573</v>
      </c>
      <c r="U220" s="2"/>
      <c r="V220" s="6">
        <f t="shared" si="93"/>
        <v>2.0217402097429966E-3</v>
      </c>
      <c r="W220" s="2"/>
      <c r="X220" s="7">
        <f t="shared" si="94"/>
        <v>-14936.59</v>
      </c>
      <c r="Y220" s="2"/>
      <c r="Z220" s="6">
        <f t="shared" si="95"/>
        <v>-0.58407656512728268</v>
      </c>
    </row>
    <row r="221" spans="1:26" s="28" customFormat="1" outlineLevel="1" collapsed="1" x14ac:dyDescent="0.25">
      <c r="A221" s="29"/>
      <c r="B221" s="14" t="str">
        <f>CONCATENATE("     ","Services                                          ")</f>
        <v xml:space="preserve">     Services                                          </v>
      </c>
      <c r="C221" s="14"/>
      <c r="D221" s="1">
        <f>SUM(OSRRefD22_20x_0)</f>
        <v>20762.95</v>
      </c>
      <c r="E221" s="1"/>
      <c r="F221" s="5">
        <f t="shared" ref="F221:F226" si="96">IF(D$12=0,0,D221/D$12)</f>
        <v>3.8018305996665662E-2</v>
      </c>
      <c r="G221" s="1"/>
      <c r="H221" s="1">
        <f>SUM(OSRRefH22_20x_0)</f>
        <v>32994</v>
      </c>
      <c r="I221" s="1"/>
      <c r="J221" s="5">
        <f t="shared" ref="J221:J226" si="97">IF(H$12=0,0,H221/H$12)</f>
        <v>2.1484860837436819E-2</v>
      </c>
      <c r="K221" s="1"/>
      <c r="L221" s="1">
        <f t="shared" ref="L221:L226" si="98">+D221-H221</f>
        <v>-12231.05</v>
      </c>
      <c r="M221" s="1"/>
      <c r="N221" s="5">
        <f t="shared" ref="N221:N226" si="99">IF(H221=0,0,L221/H221)</f>
        <v>-0.37070527974783291</v>
      </c>
      <c r="O221" s="14"/>
      <c r="P221" s="1">
        <f>SUM(OSRRefP22_20x_0)</f>
        <v>169712.11000000002</v>
      </c>
      <c r="Q221" s="1"/>
      <c r="R221" s="5">
        <f t="shared" ref="R221:R226" si="100">IF(P$12=0,0,P221/P$12)</f>
        <v>2.373135924103573E-2</v>
      </c>
      <c r="S221" s="1"/>
      <c r="T221" s="1">
        <f>SUM(OSRRefT22_20x_0)</f>
        <v>258419</v>
      </c>
      <c r="U221" s="1"/>
      <c r="V221" s="5">
        <f t="shared" ref="V221:V226" si="101">IF(T$12=0,0,T221/T$12)</f>
        <v>2.0429988005379714E-2</v>
      </c>
      <c r="W221" s="1"/>
      <c r="X221" s="1">
        <f t="shared" ref="X221:X226" si="102">+P221-T221</f>
        <v>-88706.889999999985</v>
      </c>
      <c r="Y221" s="1"/>
      <c r="Z221" s="5">
        <f t="shared" ref="Z221:Z226" si="103">IF(T221=0,0,X221/T221)</f>
        <v>-0.34326767768623817</v>
      </c>
    </row>
    <row r="222" spans="1:26" s="24" customFormat="1" hidden="1" outlineLevel="2" x14ac:dyDescent="0.25">
      <c r="A222" s="27"/>
      <c r="B222" s="11" t="str">
        <f>CONCATENATE("          ", "6282", " - ", "JANITORIAL/EXTERMINATOR EXPENS")</f>
        <v xml:space="preserve">          6282 - JANITORIAL/EXTERMINATOR EXPENS</v>
      </c>
      <c r="C222" s="11"/>
      <c r="D222" s="7">
        <v>1189.53</v>
      </c>
      <c r="E222" s="2"/>
      <c r="F222" s="6">
        <f t="shared" si="96"/>
        <v>2.1781064604121142E-3</v>
      </c>
      <c r="G222" s="2"/>
      <c r="H222" s="7">
        <v>6691</v>
      </c>
      <c r="I222" s="2"/>
      <c r="J222" s="6">
        <f t="shared" si="97"/>
        <v>4.3570104826116795E-3</v>
      </c>
      <c r="K222" s="2"/>
      <c r="L222" s="7">
        <f t="shared" si="98"/>
        <v>-5501.47</v>
      </c>
      <c r="M222" s="2"/>
      <c r="N222" s="6">
        <f t="shared" si="99"/>
        <v>-0.82221939919294573</v>
      </c>
      <c r="O222" s="11"/>
      <c r="P222" s="7">
        <v>25187.89</v>
      </c>
      <c r="Q222" s="2"/>
      <c r="R222" s="6">
        <f t="shared" si="100"/>
        <v>3.5220990777481429E-3</v>
      </c>
      <c r="S222" s="2"/>
      <c r="T222" s="7">
        <v>55682</v>
      </c>
      <c r="U222" s="2"/>
      <c r="V222" s="6">
        <f t="shared" si="101"/>
        <v>4.4020857294376691E-3</v>
      </c>
      <c r="W222" s="2"/>
      <c r="X222" s="7">
        <f t="shared" si="102"/>
        <v>-30494.11</v>
      </c>
      <c r="Y222" s="2"/>
      <c r="Z222" s="6">
        <f t="shared" si="103"/>
        <v>-0.54764753421213319</v>
      </c>
    </row>
    <row r="223" spans="1:26" s="24" customFormat="1" hidden="1" outlineLevel="2" x14ac:dyDescent="0.25">
      <c r="A223" s="27"/>
      <c r="B223" s="11" t="str">
        <f>CONCATENATE("          ", "6283", " - ", "PLANT SERVICE")</f>
        <v xml:space="preserve">          6283 - PLANT SERVICE</v>
      </c>
      <c r="C223" s="11"/>
      <c r="D223" s="7"/>
      <c r="E223" s="2"/>
      <c r="F223" s="6">
        <f t="shared" si="96"/>
        <v>0</v>
      </c>
      <c r="G223" s="2"/>
      <c r="H223" s="7">
        <v>62</v>
      </c>
      <c r="I223" s="2"/>
      <c r="J223" s="6">
        <f t="shared" si="97"/>
        <v>4.0372836634572431E-5</v>
      </c>
      <c r="K223" s="2"/>
      <c r="L223" s="7">
        <f t="shared" si="98"/>
        <v>-62</v>
      </c>
      <c r="M223" s="2"/>
      <c r="N223" s="6">
        <f t="shared" si="99"/>
        <v>-1</v>
      </c>
      <c r="O223" s="11"/>
      <c r="P223" s="7">
        <v>171.31</v>
      </c>
      <c r="Q223" s="2"/>
      <c r="R223" s="6">
        <f t="shared" si="100"/>
        <v>2.3954797047669908E-5</v>
      </c>
      <c r="S223" s="2"/>
      <c r="T223" s="7">
        <v>310</v>
      </c>
      <c r="U223" s="2"/>
      <c r="V223" s="6">
        <f t="shared" si="101"/>
        <v>2.4507858484351811E-5</v>
      </c>
      <c r="W223" s="2"/>
      <c r="X223" s="7">
        <f t="shared" si="102"/>
        <v>-138.69</v>
      </c>
      <c r="Y223" s="2"/>
      <c r="Z223" s="6">
        <f t="shared" si="103"/>
        <v>-0.44738709677419353</v>
      </c>
    </row>
    <row r="224" spans="1:26" s="24" customFormat="1" hidden="1" outlineLevel="2" x14ac:dyDescent="0.25">
      <c r="A224" s="27"/>
      <c r="B224" s="11" t="str">
        <f>CONCATENATE("          ", "6284", " - ", "TRASH REMOVAL EXPENSE")</f>
        <v xml:space="preserve">          6284 - TRASH REMOVAL EXPENSE</v>
      </c>
      <c r="C224" s="11"/>
      <c r="D224" s="7">
        <v>5800.57</v>
      </c>
      <c r="E224" s="2"/>
      <c r="F224" s="6">
        <f t="shared" si="96"/>
        <v>1.0621219297598796E-2</v>
      </c>
      <c r="G224" s="2"/>
      <c r="H224" s="7">
        <v>4105</v>
      </c>
      <c r="I224" s="2"/>
      <c r="J224" s="6">
        <f t="shared" si="97"/>
        <v>2.673072490079352E-3</v>
      </c>
      <c r="K224" s="2"/>
      <c r="L224" s="7">
        <f t="shared" si="98"/>
        <v>1695.5699999999997</v>
      </c>
      <c r="M224" s="2"/>
      <c r="N224" s="6">
        <f t="shared" si="99"/>
        <v>0.41304993909866011</v>
      </c>
      <c r="O224" s="11"/>
      <c r="P224" s="7">
        <v>32200.329999999998</v>
      </c>
      <c r="Q224" s="2"/>
      <c r="R224" s="6">
        <f t="shared" si="100"/>
        <v>4.5026698384098805E-3</v>
      </c>
      <c r="S224" s="2"/>
      <c r="T224" s="7">
        <v>30741</v>
      </c>
      <c r="U224" s="2"/>
      <c r="V224" s="6">
        <f t="shared" si="101"/>
        <v>2.4303099279595454E-3</v>
      </c>
      <c r="W224" s="2"/>
      <c r="X224" s="7">
        <f t="shared" si="102"/>
        <v>1459.3299999999981</v>
      </c>
      <c r="Y224" s="2"/>
      <c r="Z224" s="6">
        <f t="shared" si="103"/>
        <v>4.7471780358478842E-2</v>
      </c>
    </row>
    <row r="225" spans="1:26" s="24" customFormat="1" hidden="1" outlineLevel="2" x14ac:dyDescent="0.25">
      <c r="A225" s="27"/>
      <c r="B225" s="11" t="str">
        <f>CONCATENATE("          ", "6285", " - ", "JANITORIAL SERVICES")</f>
        <v xml:space="preserve">          6285 - JANITORIAL SERVICES</v>
      </c>
      <c r="C225" s="11"/>
      <c r="D225" s="7">
        <v>12687.19</v>
      </c>
      <c r="E225" s="2"/>
      <c r="F225" s="6">
        <f t="shared" si="96"/>
        <v>2.323106647455379E-2</v>
      </c>
      <c r="G225" s="2"/>
      <c r="H225" s="7">
        <v>17532</v>
      </c>
      <c r="I225" s="2"/>
      <c r="J225" s="6">
        <f t="shared" si="97"/>
        <v>1.1416396320601999E-2</v>
      </c>
      <c r="K225" s="2"/>
      <c r="L225" s="7">
        <f t="shared" si="98"/>
        <v>-4844.8099999999995</v>
      </c>
      <c r="M225" s="2"/>
      <c r="N225" s="6">
        <f t="shared" si="99"/>
        <v>-0.27634097650011402</v>
      </c>
      <c r="O225" s="11"/>
      <c r="P225" s="7">
        <v>99444.450000000012</v>
      </c>
      <c r="Q225" s="2"/>
      <c r="R225" s="6">
        <f t="shared" si="100"/>
        <v>1.3905619153973252E-2</v>
      </c>
      <c r="S225" s="2"/>
      <c r="T225" s="7">
        <v>134861</v>
      </c>
      <c r="U225" s="2"/>
      <c r="V225" s="6">
        <f t="shared" si="101"/>
        <v>1.0661788074381192E-2</v>
      </c>
      <c r="W225" s="2"/>
      <c r="X225" s="7">
        <f t="shared" si="102"/>
        <v>-35416.549999999988</v>
      </c>
      <c r="Y225" s="2"/>
      <c r="Z225" s="6">
        <f t="shared" si="103"/>
        <v>-0.26261521121747566</v>
      </c>
    </row>
    <row r="226" spans="1:26" s="24" customFormat="1" hidden="1" outlineLevel="2" x14ac:dyDescent="0.25">
      <c r="A226" s="27"/>
      <c r="B226" s="11" t="str">
        <f>CONCATENATE("          ", "6286", " - ", "LAUNDRY EXPENSE")</f>
        <v xml:space="preserve">          6286 - LAUNDRY EXPENSE</v>
      </c>
      <c r="C226" s="11"/>
      <c r="D226" s="7">
        <v>1085.6600000000001</v>
      </c>
      <c r="E226" s="2"/>
      <c r="F226" s="6">
        <f t="shared" si="96"/>
        <v>1.9879137641009609E-3</v>
      </c>
      <c r="G226" s="2"/>
      <c r="H226" s="7">
        <v>4604</v>
      </c>
      <c r="I226" s="2"/>
      <c r="J226" s="6">
        <f t="shared" si="97"/>
        <v>2.9980087075092174E-3</v>
      </c>
      <c r="K226" s="2"/>
      <c r="L226" s="7">
        <f t="shared" si="98"/>
        <v>-3518.34</v>
      </c>
      <c r="M226" s="2"/>
      <c r="N226" s="6">
        <f t="shared" si="99"/>
        <v>-0.76419200695047784</v>
      </c>
      <c r="O226" s="11"/>
      <c r="P226" s="7">
        <v>12708.13</v>
      </c>
      <c r="Q226" s="2"/>
      <c r="R226" s="6">
        <f t="shared" si="100"/>
        <v>1.7770163738567821E-3</v>
      </c>
      <c r="S226" s="2"/>
      <c r="T226" s="7">
        <v>36825</v>
      </c>
      <c r="U226" s="2"/>
      <c r="V226" s="6">
        <f t="shared" si="101"/>
        <v>2.9112964151169532E-3</v>
      </c>
      <c r="W226" s="2"/>
      <c r="X226" s="7">
        <f t="shared" si="102"/>
        <v>-24116.870000000003</v>
      </c>
      <c r="Y226" s="2"/>
      <c r="Z226" s="6">
        <f t="shared" si="103"/>
        <v>-0.65490482009504425</v>
      </c>
    </row>
    <row r="227" spans="1:26" s="28" customFormat="1" outlineLevel="1" collapsed="1" x14ac:dyDescent="0.25">
      <c r="A227" s="29"/>
      <c r="B227" s="14" t="str">
        <f>CONCATENATE("     ","Subscriptions &amp; Dues                              ")</f>
        <v xml:space="preserve">     Subscriptions &amp; Dues                              </v>
      </c>
      <c r="C227" s="14"/>
      <c r="D227" s="1">
        <f>SUM(OSRRefD22_21x_0)</f>
        <v>444.25</v>
      </c>
      <c r="E227" s="1"/>
      <c r="F227" s="5">
        <f t="shared" ref="F227:F229" si="104">IF(D$12=0,0,D227/D$12)</f>
        <v>8.1345051830393662E-4</v>
      </c>
      <c r="G227" s="1"/>
      <c r="H227" s="1">
        <f>SUM(OSRRefH22_21x_0)</f>
        <v>1478</v>
      </c>
      <c r="I227" s="1"/>
      <c r="J227" s="5">
        <f t="shared" ref="J227:J229" si="105">IF(H$12=0,0,H227/H$12)</f>
        <v>9.624363313854525E-4</v>
      </c>
      <c r="K227" s="1"/>
      <c r="L227" s="1">
        <f t="shared" ref="L227:L229" si="106">+D227-H227</f>
        <v>-1033.75</v>
      </c>
      <c r="M227" s="1"/>
      <c r="N227" s="5">
        <f t="shared" ref="N227:N229" si="107">IF(H227=0,0,L227/H227)</f>
        <v>-0.69942489851150202</v>
      </c>
      <c r="O227" s="14"/>
      <c r="P227" s="1">
        <f>SUM(OSRRefP22_21x_0)</f>
        <v>5618.55</v>
      </c>
      <c r="Q227" s="1"/>
      <c r="R227" s="5">
        <f t="shared" ref="R227:R229" si="108">IF(P$12=0,0,P227/P$12)</f>
        <v>7.8565889295537767E-4</v>
      </c>
      <c r="S227" s="1"/>
      <c r="T227" s="1">
        <f>SUM(OSRRefT22_21x_0)</f>
        <v>14084</v>
      </c>
      <c r="U227" s="1"/>
      <c r="V227" s="5">
        <f t="shared" ref="V227:V229" si="109">IF(T$12=0,0,T227/T$12)</f>
        <v>1.1134473512697126E-3</v>
      </c>
      <c r="W227" s="1"/>
      <c r="X227" s="1">
        <f t="shared" ref="X227:X229" si="110">+P227-T227</f>
        <v>-8465.4500000000007</v>
      </c>
      <c r="Y227" s="1"/>
      <c r="Z227" s="5">
        <f t="shared" ref="Z227:Z229" si="111">IF(T227=0,0,X227/T227)</f>
        <v>-0.60106858846918498</v>
      </c>
    </row>
    <row r="228" spans="1:26" s="24" customFormat="1" hidden="1" outlineLevel="2" x14ac:dyDescent="0.25">
      <c r="A228" s="27"/>
      <c r="B228" s="11" t="str">
        <f>CONCATENATE("          ", "6258", " - ", "MEMBERSHIP DUES")</f>
        <v xml:space="preserve">          6258 - MEMBERSHIP DUES</v>
      </c>
      <c r="C228" s="11"/>
      <c r="D228" s="7">
        <v>181.41</v>
      </c>
      <c r="E228" s="2"/>
      <c r="F228" s="6">
        <f t="shared" si="104"/>
        <v>3.3217345757010047E-4</v>
      </c>
      <c r="G228" s="2"/>
      <c r="H228" s="7">
        <v>1100</v>
      </c>
      <c r="I228" s="2"/>
      <c r="J228" s="6">
        <f t="shared" si="105"/>
        <v>7.1629226287144639E-4</v>
      </c>
      <c r="K228" s="2"/>
      <c r="L228" s="7">
        <f t="shared" si="106"/>
        <v>-918.59</v>
      </c>
      <c r="M228" s="2"/>
      <c r="N228" s="6">
        <f t="shared" si="107"/>
        <v>-0.83508181818181826</v>
      </c>
      <c r="O228" s="11"/>
      <c r="P228" s="7">
        <v>2668.73</v>
      </c>
      <c r="Q228" s="2"/>
      <c r="R228" s="6">
        <f t="shared" si="108"/>
        <v>3.7317661271979517E-4</v>
      </c>
      <c r="S228" s="2"/>
      <c r="T228" s="7">
        <v>11095</v>
      </c>
      <c r="U228" s="2"/>
      <c r="V228" s="6">
        <f t="shared" si="109"/>
        <v>8.7714416091575279E-4</v>
      </c>
      <c r="W228" s="2"/>
      <c r="X228" s="7">
        <f t="shared" si="110"/>
        <v>-8426.27</v>
      </c>
      <c r="Y228" s="2"/>
      <c r="Z228" s="6">
        <f t="shared" si="111"/>
        <v>-0.75946552501126641</v>
      </c>
    </row>
    <row r="229" spans="1:26" s="24" customFormat="1" hidden="1" outlineLevel="2" x14ac:dyDescent="0.25">
      <c r="A229" s="27"/>
      <c r="B229" s="11" t="str">
        <f>CONCATENATE("          ", "6275", " - ", "SUBSCRIPTIONS")</f>
        <v xml:space="preserve">          6275 - SUBSCRIPTIONS</v>
      </c>
      <c r="C229" s="11"/>
      <c r="D229" s="7">
        <v>262.83999999999997</v>
      </c>
      <c r="E229" s="2"/>
      <c r="F229" s="6">
        <f t="shared" si="104"/>
        <v>4.812770607338361E-4</v>
      </c>
      <c r="G229" s="2"/>
      <c r="H229" s="7">
        <v>378</v>
      </c>
      <c r="I229" s="2"/>
      <c r="J229" s="6">
        <f t="shared" si="105"/>
        <v>2.4614406851400611E-4</v>
      </c>
      <c r="K229" s="2"/>
      <c r="L229" s="7">
        <f t="shared" si="106"/>
        <v>-115.16000000000003</v>
      </c>
      <c r="M229" s="2"/>
      <c r="N229" s="6">
        <f t="shared" si="107"/>
        <v>-0.30465608465608474</v>
      </c>
      <c r="O229" s="11"/>
      <c r="P229" s="7">
        <v>2949.82</v>
      </c>
      <c r="Q229" s="2"/>
      <c r="R229" s="6">
        <f t="shared" si="108"/>
        <v>4.1248228023558255E-4</v>
      </c>
      <c r="S229" s="2"/>
      <c r="T229" s="7">
        <v>2989</v>
      </c>
      <c r="U229" s="2"/>
      <c r="V229" s="6">
        <f t="shared" si="109"/>
        <v>2.3630319035395988E-4</v>
      </c>
      <c r="W229" s="2"/>
      <c r="X229" s="7">
        <f t="shared" si="110"/>
        <v>-39.179999999999836</v>
      </c>
      <c r="Y229" s="2"/>
      <c r="Z229" s="6">
        <f t="shared" si="111"/>
        <v>-1.3108062897290008E-2</v>
      </c>
    </row>
    <row r="230" spans="1:26" s="28" customFormat="1" outlineLevel="1" collapsed="1" x14ac:dyDescent="0.25">
      <c r="A230" s="29"/>
      <c r="B230" s="14" t="str">
        <f>CONCATENATE("     ","Supplies                                          ")</f>
        <v xml:space="preserve">     Supplies                                          </v>
      </c>
      <c r="C230" s="14"/>
      <c r="D230" s="1">
        <f>SUM(OSRRefD22_22x_0)</f>
        <v>20079.38</v>
      </c>
      <c r="E230" s="1"/>
      <c r="F230" s="5">
        <f t="shared" ref="F230:F241" si="112">IF(D$12=0,0,D230/D$12)</f>
        <v>3.6766645060712887E-2</v>
      </c>
      <c r="G230" s="1"/>
      <c r="H230" s="1">
        <f>SUM(OSRRefH22_22x_0)</f>
        <v>44176</v>
      </c>
      <c r="I230" s="1"/>
      <c r="J230" s="5">
        <f t="shared" ref="J230:J241" si="113">IF(H$12=0,0,H230/H$12)</f>
        <v>2.8766297276917287E-2</v>
      </c>
      <c r="K230" s="1"/>
      <c r="L230" s="1">
        <f t="shared" ref="L230:L241" si="114">+D230-H230</f>
        <v>-24096.62</v>
      </c>
      <c r="M230" s="1"/>
      <c r="N230" s="5">
        <f t="shared" ref="N230:N241" si="115">IF(H230=0,0,L230/H230)</f>
        <v>-0.54546858022455624</v>
      </c>
      <c r="O230" s="14"/>
      <c r="P230" s="1">
        <f>SUM(OSRRefP22_22x_0)</f>
        <v>235361.98</v>
      </c>
      <c r="Q230" s="1"/>
      <c r="R230" s="5">
        <f t="shared" ref="R230:R241" si="116">IF(P$12=0,0,P230/P$12)</f>
        <v>3.2911379742208535E-2</v>
      </c>
      <c r="S230" s="1"/>
      <c r="T230" s="1">
        <f>SUM(OSRRefT22_22x_0)</f>
        <v>421310</v>
      </c>
      <c r="U230" s="1"/>
      <c r="V230" s="5">
        <f t="shared" ref="V230:V241" si="117">IF(T$12=0,0,T230/T$12)</f>
        <v>3.3307760832394395E-2</v>
      </c>
      <c r="W230" s="1"/>
      <c r="X230" s="1">
        <f t="shared" ref="X230:X241" si="118">+P230-T230</f>
        <v>-185948.02</v>
      </c>
      <c r="Y230" s="1"/>
      <c r="Z230" s="5">
        <f t="shared" ref="Z230:Z241" si="119">IF(T230=0,0,X230/T230)</f>
        <v>-0.44135676817545272</v>
      </c>
    </row>
    <row r="231" spans="1:26" s="24" customFormat="1" hidden="1" outlineLevel="2" x14ac:dyDescent="0.25">
      <c r="A231" s="27"/>
      <c r="B231" s="11" t="str">
        <f>CONCATENATE("          ", "6234", " - ", "EXPENDABLE SUPPLIES &amp; EQUIPMEN")</f>
        <v xml:space="preserve">          6234 - EXPENDABLE SUPPLIES &amp; EQUIPMEN</v>
      </c>
      <c r="C231" s="11"/>
      <c r="D231" s="7"/>
      <c r="E231" s="2"/>
      <c r="F231" s="6">
        <f t="shared" si="112"/>
        <v>0</v>
      </c>
      <c r="G231" s="2"/>
      <c r="H231" s="7">
        <v>7250</v>
      </c>
      <c r="I231" s="2"/>
      <c r="J231" s="6">
        <f t="shared" si="113"/>
        <v>4.7210171871072603E-3</v>
      </c>
      <c r="K231" s="2"/>
      <c r="L231" s="7">
        <f t="shared" si="114"/>
        <v>-7250</v>
      </c>
      <c r="M231" s="2"/>
      <c r="N231" s="6">
        <f t="shared" si="115"/>
        <v>-1</v>
      </c>
      <c r="O231" s="11"/>
      <c r="P231" s="7">
        <v>574.74</v>
      </c>
      <c r="Q231" s="2"/>
      <c r="R231" s="6">
        <f t="shared" si="116"/>
        <v>8.036763793811104E-5</v>
      </c>
      <c r="S231" s="2"/>
      <c r="T231" s="7">
        <v>59104</v>
      </c>
      <c r="U231" s="2"/>
      <c r="V231" s="6">
        <f t="shared" si="117"/>
        <v>4.6726208640617082E-3</v>
      </c>
      <c r="W231" s="2"/>
      <c r="X231" s="7">
        <f t="shared" si="118"/>
        <v>-58529.26</v>
      </c>
      <c r="Y231" s="2"/>
      <c r="Z231" s="6">
        <f t="shared" si="119"/>
        <v>-0.99027578505684899</v>
      </c>
    </row>
    <row r="232" spans="1:26" s="24" customFormat="1" hidden="1" outlineLevel="2" x14ac:dyDescent="0.25">
      <c r="A232" s="27"/>
      <c r="B232" s="11" t="str">
        <f>CONCATENATE("          ", "6235", " - ", "COVID-19 EXPENSES")</f>
        <v xml:space="preserve">          6235 - COVID-19 EXPENSES</v>
      </c>
      <c r="C232" s="11"/>
      <c r="D232" s="7">
        <v>5913.34</v>
      </c>
      <c r="E232" s="2"/>
      <c r="F232" s="6">
        <f t="shared" si="112"/>
        <v>1.0827708470247385E-2</v>
      </c>
      <c r="G232" s="2"/>
      <c r="H232" s="7">
        <v>13100</v>
      </c>
      <c r="I232" s="2"/>
      <c r="J232" s="6">
        <f t="shared" si="113"/>
        <v>8.5303896760144972E-3</v>
      </c>
      <c r="K232" s="2"/>
      <c r="L232" s="7">
        <f t="shared" si="114"/>
        <v>-7186.66</v>
      </c>
      <c r="M232" s="2"/>
      <c r="N232" s="6">
        <f t="shared" si="115"/>
        <v>-0.54859999999999998</v>
      </c>
      <c r="O232" s="11"/>
      <c r="P232" s="7">
        <v>98617.97</v>
      </c>
      <c r="Q232" s="2"/>
      <c r="R232" s="6">
        <f t="shared" si="116"/>
        <v>1.3790049948066076E-2</v>
      </c>
      <c r="S232" s="2"/>
      <c r="T232" s="7">
        <v>157900</v>
      </c>
      <c r="U232" s="2"/>
      <c r="V232" s="6">
        <f t="shared" si="117"/>
        <v>1.2483196305416616E-2</v>
      </c>
      <c r="W232" s="2"/>
      <c r="X232" s="7">
        <f t="shared" si="118"/>
        <v>-59282.03</v>
      </c>
      <c r="Y232" s="2"/>
      <c r="Z232" s="6">
        <f t="shared" si="119"/>
        <v>-0.37544034198860038</v>
      </c>
    </row>
    <row r="233" spans="1:26" s="24" customFormat="1" hidden="1" outlineLevel="2" x14ac:dyDescent="0.25">
      <c r="A233" s="27"/>
      <c r="B233" s="11" t="str">
        <f>CONCATENATE("          ", "6237", " - ", "JANITORIAL SUPPLIES")</f>
        <v xml:space="preserve">          6237 - JANITORIAL SUPPLIES</v>
      </c>
      <c r="C233" s="11"/>
      <c r="D233" s="7">
        <v>648.99</v>
      </c>
      <c r="E233" s="2"/>
      <c r="F233" s="6">
        <f t="shared" si="112"/>
        <v>1.1883427166551983E-3</v>
      </c>
      <c r="G233" s="2"/>
      <c r="H233" s="7">
        <v>10580</v>
      </c>
      <c r="I233" s="2"/>
      <c r="J233" s="6">
        <f t="shared" si="113"/>
        <v>6.8894292192544573E-3</v>
      </c>
      <c r="K233" s="2"/>
      <c r="L233" s="7">
        <f t="shared" si="114"/>
        <v>-9931.01</v>
      </c>
      <c r="M233" s="2"/>
      <c r="N233" s="6">
        <f t="shared" si="115"/>
        <v>-0.93865879017013232</v>
      </c>
      <c r="O233" s="11"/>
      <c r="P233" s="7">
        <v>20824.929999999997</v>
      </c>
      <c r="Q233" s="2"/>
      <c r="R233" s="6">
        <f t="shared" si="116"/>
        <v>2.9120131439024713E-3</v>
      </c>
      <c r="S233" s="2"/>
      <c r="T233" s="7">
        <v>78680</v>
      </c>
      <c r="U233" s="2"/>
      <c r="V233" s="6">
        <f t="shared" si="117"/>
        <v>6.2202525985445177E-3</v>
      </c>
      <c r="W233" s="2"/>
      <c r="X233" s="7">
        <f t="shared" si="118"/>
        <v>-57855.070000000007</v>
      </c>
      <c r="Y233" s="2"/>
      <c r="Z233" s="6">
        <f t="shared" si="119"/>
        <v>-0.73532117437722433</v>
      </c>
    </row>
    <row r="234" spans="1:26" s="24" customFormat="1" hidden="1" outlineLevel="2" x14ac:dyDescent="0.25">
      <c r="A234" s="27"/>
      <c r="B234" s="11" t="str">
        <f>CONCATENATE("          ", "6239", " - ", "KITCHEN SUPPLIES")</f>
        <v xml:space="preserve">          6239 - KITCHEN SUPPLIES</v>
      </c>
      <c r="C234" s="11"/>
      <c r="D234" s="7">
        <v>253.3</v>
      </c>
      <c r="E234" s="2"/>
      <c r="F234" s="6">
        <f t="shared" si="112"/>
        <v>4.6380870295191257E-4</v>
      </c>
      <c r="G234" s="2"/>
      <c r="H234" s="7">
        <v>2411</v>
      </c>
      <c r="I234" s="2"/>
      <c r="J234" s="6">
        <f t="shared" si="113"/>
        <v>1.5699824052573248E-3</v>
      </c>
      <c r="K234" s="2"/>
      <c r="L234" s="7">
        <f t="shared" si="114"/>
        <v>-2157.6999999999998</v>
      </c>
      <c r="M234" s="2"/>
      <c r="N234" s="6">
        <f t="shared" si="115"/>
        <v>-0.89493985897967643</v>
      </c>
      <c r="O234" s="11"/>
      <c r="P234" s="7">
        <v>7067.16</v>
      </c>
      <c r="Q234" s="2"/>
      <c r="R234" s="6">
        <f t="shared" si="116"/>
        <v>9.8822242428002363E-4</v>
      </c>
      <c r="S234" s="2"/>
      <c r="T234" s="7">
        <v>17943</v>
      </c>
      <c r="U234" s="2"/>
      <c r="V234" s="6">
        <f t="shared" si="117"/>
        <v>1.4185306605958856E-3</v>
      </c>
      <c r="W234" s="2"/>
      <c r="X234" s="7">
        <f t="shared" si="118"/>
        <v>-10875.84</v>
      </c>
      <c r="Y234" s="2"/>
      <c r="Z234" s="6">
        <f t="shared" si="119"/>
        <v>-0.60613275372011366</v>
      </c>
    </row>
    <row r="235" spans="1:26" s="24" customFormat="1" hidden="1" outlineLevel="2" x14ac:dyDescent="0.25">
      <c r="A235" s="27"/>
      <c r="B235" s="11" t="str">
        <f>CONCATENATE("          ", "6241", " - ", "OFFICE EXPENSE")</f>
        <v xml:space="preserve">          6241 - OFFICE EXPENSE</v>
      </c>
      <c r="C235" s="11"/>
      <c r="D235" s="7">
        <v>1775.82</v>
      </c>
      <c r="E235" s="2"/>
      <c r="F235" s="6">
        <f t="shared" si="112"/>
        <v>3.2516414168024684E-3</v>
      </c>
      <c r="G235" s="2"/>
      <c r="H235" s="7">
        <v>1760</v>
      </c>
      <c r="I235" s="2"/>
      <c r="J235" s="6">
        <f t="shared" si="113"/>
        <v>1.1460676205943142E-3</v>
      </c>
      <c r="K235" s="2"/>
      <c r="L235" s="7">
        <f t="shared" si="114"/>
        <v>15.819999999999936</v>
      </c>
      <c r="M235" s="2"/>
      <c r="N235" s="6">
        <f t="shared" si="115"/>
        <v>8.9886363636363271E-3</v>
      </c>
      <c r="O235" s="11"/>
      <c r="P235" s="7">
        <v>29788.25</v>
      </c>
      <c r="Q235" s="2"/>
      <c r="R235" s="6">
        <f t="shared" si="116"/>
        <v>4.1653813738558934E-3</v>
      </c>
      <c r="S235" s="2"/>
      <c r="T235" s="7">
        <v>18692</v>
      </c>
      <c r="U235" s="2"/>
      <c r="V235" s="6">
        <f t="shared" si="117"/>
        <v>1.4777448089984002E-3</v>
      </c>
      <c r="W235" s="2"/>
      <c r="X235" s="7">
        <f t="shared" si="118"/>
        <v>11096.25</v>
      </c>
      <c r="Y235" s="2"/>
      <c r="Z235" s="6">
        <f t="shared" si="119"/>
        <v>0.59363631500106995</v>
      </c>
    </row>
    <row r="236" spans="1:26" s="24" customFormat="1" hidden="1" outlineLevel="2" x14ac:dyDescent="0.25">
      <c r="A236" s="27"/>
      <c r="B236" s="11" t="str">
        <f>CONCATENATE("          ", "6243", " - ", "PAPER SUPPLIES")</f>
        <v xml:space="preserve">          6243 - PAPER SUPPLIES</v>
      </c>
      <c r="C236" s="11"/>
      <c r="D236" s="7">
        <v>7200.74</v>
      </c>
      <c r="E236" s="2"/>
      <c r="F236" s="6">
        <f t="shared" si="112"/>
        <v>1.3185021238428562E-2</v>
      </c>
      <c r="G236" s="2"/>
      <c r="H236" s="7">
        <v>1821</v>
      </c>
      <c r="I236" s="2"/>
      <c r="J236" s="6">
        <f t="shared" si="113"/>
        <v>1.185789282444458E-3</v>
      </c>
      <c r="K236" s="2"/>
      <c r="L236" s="7">
        <f t="shared" si="114"/>
        <v>5379.74</v>
      </c>
      <c r="M236" s="2"/>
      <c r="N236" s="6">
        <f t="shared" si="115"/>
        <v>2.9542778693025809</v>
      </c>
      <c r="O236" s="11"/>
      <c r="P236" s="7">
        <v>30492.380000000005</v>
      </c>
      <c r="Q236" s="2"/>
      <c r="R236" s="6">
        <f t="shared" si="116"/>
        <v>4.2638420080580762E-3</v>
      </c>
      <c r="S236" s="2"/>
      <c r="T236" s="7">
        <v>21491</v>
      </c>
      <c r="U236" s="2"/>
      <c r="V236" s="6">
        <f t="shared" si="117"/>
        <v>1.6990270538296927E-3</v>
      </c>
      <c r="W236" s="2"/>
      <c r="X236" s="7">
        <f t="shared" si="118"/>
        <v>9001.3800000000047</v>
      </c>
      <c r="Y236" s="2"/>
      <c r="Z236" s="6">
        <f t="shared" si="119"/>
        <v>0.41884416732585755</v>
      </c>
    </row>
    <row r="237" spans="1:26" s="24" customFormat="1" hidden="1" outlineLevel="2" x14ac:dyDescent="0.25">
      <c r="A237" s="27"/>
      <c r="B237" s="11" t="str">
        <f>CONCATENATE("          ", "6244", " - ", "SAFETY SUPPLY EXPENSE")</f>
        <v xml:space="preserve">          6244 - SAFETY SUPPLY EXPENSE</v>
      </c>
      <c r="C237" s="11"/>
      <c r="D237" s="7"/>
      <c r="E237" s="2"/>
      <c r="F237" s="6">
        <f t="shared" si="112"/>
        <v>0</v>
      </c>
      <c r="G237" s="2"/>
      <c r="H237" s="7">
        <v>100</v>
      </c>
      <c r="I237" s="2"/>
      <c r="J237" s="6">
        <f t="shared" si="113"/>
        <v>6.5117478442858757E-5</v>
      </c>
      <c r="K237" s="2"/>
      <c r="L237" s="7">
        <f t="shared" si="114"/>
        <v>-100</v>
      </c>
      <c r="M237" s="2"/>
      <c r="N237" s="6">
        <f t="shared" si="115"/>
        <v>-1</v>
      </c>
      <c r="O237" s="11"/>
      <c r="P237" s="7"/>
      <c r="Q237" s="2"/>
      <c r="R237" s="6">
        <f t="shared" si="116"/>
        <v>0</v>
      </c>
      <c r="S237" s="2"/>
      <c r="T237" s="7">
        <v>1155</v>
      </c>
      <c r="U237" s="2"/>
      <c r="V237" s="6">
        <f t="shared" si="117"/>
        <v>9.1311537256214012E-5</v>
      </c>
      <c r="W237" s="2"/>
      <c r="X237" s="7">
        <f t="shared" si="118"/>
        <v>-1155</v>
      </c>
      <c r="Y237" s="2"/>
      <c r="Z237" s="6">
        <f t="shared" si="119"/>
        <v>-1</v>
      </c>
    </row>
    <row r="238" spans="1:26" s="24" customFormat="1" hidden="1" outlineLevel="2" x14ac:dyDescent="0.25">
      <c r="A238" s="27"/>
      <c r="B238" s="11" t="str">
        <f>CONCATENATE("          ", "6245", " - ", "PRINTING")</f>
        <v xml:space="preserve">          6245 - PRINTING</v>
      </c>
      <c r="C238" s="11"/>
      <c r="D238" s="7">
        <v>398.67</v>
      </c>
      <c r="E238" s="2"/>
      <c r="F238" s="6">
        <f t="shared" si="112"/>
        <v>7.299905866791906E-4</v>
      </c>
      <c r="G238" s="2"/>
      <c r="H238" s="7">
        <v>500</v>
      </c>
      <c r="I238" s="2"/>
      <c r="J238" s="6">
        <f t="shared" si="113"/>
        <v>3.2558739221429382E-4</v>
      </c>
      <c r="K238" s="2"/>
      <c r="L238" s="7">
        <f t="shared" si="114"/>
        <v>-101.32999999999998</v>
      </c>
      <c r="M238" s="2"/>
      <c r="N238" s="6">
        <f t="shared" si="115"/>
        <v>-0.20265999999999998</v>
      </c>
      <c r="O238" s="11"/>
      <c r="P238" s="7">
        <v>906.94</v>
      </c>
      <c r="Q238" s="2"/>
      <c r="R238" s="6">
        <f t="shared" si="116"/>
        <v>1.2682017181958873E-4</v>
      </c>
      <c r="S238" s="2"/>
      <c r="T238" s="7">
        <v>6100</v>
      </c>
      <c r="U238" s="2"/>
      <c r="V238" s="6">
        <f t="shared" si="117"/>
        <v>4.8225140888563244E-4</v>
      </c>
      <c r="W238" s="2"/>
      <c r="X238" s="7">
        <f t="shared" si="118"/>
        <v>-5193.0599999999995</v>
      </c>
      <c r="Y238" s="2"/>
      <c r="Z238" s="6">
        <f t="shared" si="119"/>
        <v>-0.85132131147540979</v>
      </c>
    </row>
    <row r="239" spans="1:26" s="24" customFormat="1" hidden="1" outlineLevel="2" x14ac:dyDescent="0.25">
      <c r="A239" s="27"/>
      <c r="B239" s="11" t="str">
        <f>CONCATENATE("          ", "6246", " - ", "REPLACEMENTS")</f>
        <v xml:space="preserve">          6246 - REPLACEMENTS</v>
      </c>
      <c r="C239" s="11"/>
      <c r="D239" s="7"/>
      <c r="E239" s="2"/>
      <c r="F239" s="6">
        <f t="shared" si="112"/>
        <v>0</v>
      </c>
      <c r="G239" s="2"/>
      <c r="H239" s="7">
        <v>0</v>
      </c>
      <c r="I239" s="2"/>
      <c r="J239" s="6">
        <f t="shared" si="113"/>
        <v>0</v>
      </c>
      <c r="K239" s="2"/>
      <c r="L239" s="7">
        <f t="shared" si="114"/>
        <v>0</v>
      </c>
      <c r="M239" s="2"/>
      <c r="N239" s="6">
        <f t="shared" si="115"/>
        <v>0</v>
      </c>
      <c r="O239" s="11"/>
      <c r="P239" s="7"/>
      <c r="Q239" s="2"/>
      <c r="R239" s="6">
        <f t="shared" si="116"/>
        <v>0</v>
      </c>
      <c r="S239" s="2"/>
      <c r="T239" s="7">
        <v>0</v>
      </c>
      <c r="U239" s="2"/>
      <c r="V239" s="6">
        <f t="shared" si="117"/>
        <v>0</v>
      </c>
      <c r="W239" s="2"/>
      <c r="X239" s="7">
        <f t="shared" si="118"/>
        <v>0</v>
      </c>
      <c r="Y239" s="2"/>
      <c r="Z239" s="6">
        <f t="shared" si="119"/>
        <v>0</v>
      </c>
    </row>
    <row r="240" spans="1:26" s="24" customFormat="1" hidden="1" outlineLevel="2" x14ac:dyDescent="0.25">
      <c r="A240" s="27"/>
      <c r="B240" s="11" t="str">
        <f>CONCATENATE("          ", "6247", " - ", "STORE SUPPLIES")</f>
        <v xml:space="preserve">          6247 - STORE SUPPLIES</v>
      </c>
      <c r="C240" s="11"/>
      <c r="D240" s="7">
        <v>3888.52</v>
      </c>
      <c r="E240" s="2"/>
      <c r="F240" s="6">
        <f t="shared" si="112"/>
        <v>7.1201319289481676E-3</v>
      </c>
      <c r="G240" s="2"/>
      <c r="H240" s="7">
        <v>4654</v>
      </c>
      <c r="I240" s="2"/>
      <c r="J240" s="6">
        <f t="shared" si="113"/>
        <v>3.0305674467306469E-3</v>
      </c>
      <c r="K240" s="2"/>
      <c r="L240" s="7">
        <f t="shared" si="114"/>
        <v>-765.48</v>
      </c>
      <c r="M240" s="2"/>
      <c r="N240" s="6">
        <f t="shared" si="115"/>
        <v>-0.16447786850021487</v>
      </c>
      <c r="O240" s="11"/>
      <c r="P240" s="7">
        <v>42589.020000000004</v>
      </c>
      <c r="Q240" s="2"/>
      <c r="R240" s="6">
        <f t="shared" si="116"/>
        <v>5.9553518799787212E-3</v>
      </c>
      <c r="S240" s="2"/>
      <c r="T240" s="7">
        <v>37980</v>
      </c>
      <c r="U240" s="2"/>
      <c r="V240" s="6">
        <f t="shared" si="117"/>
        <v>3.0026079523731669E-3</v>
      </c>
      <c r="W240" s="2"/>
      <c r="X240" s="7">
        <f t="shared" si="118"/>
        <v>4609.0200000000041</v>
      </c>
      <c r="Y240" s="2"/>
      <c r="Z240" s="6">
        <f t="shared" si="119"/>
        <v>0.12135387045813596</v>
      </c>
    </row>
    <row r="241" spans="1:26" s="24" customFormat="1" hidden="1" outlineLevel="2" x14ac:dyDescent="0.25">
      <c r="A241" s="27"/>
      <c r="B241" s="11" t="str">
        <f>CONCATENATE("          ", "6248", " - ", "UNIFORMS")</f>
        <v xml:space="preserve">          6248 - UNIFORMS</v>
      </c>
      <c r="C241" s="11"/>
      <c r="D241" s="7"/>
      <c r="E241" s="2"/>
      <c r="F241" s="6">
        <f t="shared" si="112"/>
        <v>0</v>
      </c>
      <c r="G241" s="2"/>
      <c r="H241" s="7">
        <v>2000</v>
      </c>
      <c r="I241" s="2"/>
      <c r="J241" s="6">
        <f t="shared" si="113"/>
        <v>1.3023495688571753E-3</v>
      </c>
      <c r="K241" s="2"/>
      <c r="L241" s="7">
        <f t="shared" si="114"/>
        <v>-2000</v>
      </c>
      <c r="M241" s="2"/>
      <c r="N241" s="6">
        <f t="shared" si="115"/>
        <v>-1</v>
      </c>
      <c r="O241" s="11"/>
      <c r="P241" s="7">
        <v>4500.59</v>
      </c>
      <c r="Q241" s="2"/>
      <c r="R241" s="6">
        <f t="shared" si="116"/>
        <v>6.2933115430957153E-4</v>
      </c>
      <c r="S241" s="2"/>
      <c r="T241" s="7">
        <v>22265</v>
      </c>
      <c r="U241" s="2"/>
      <c r="V241" s="6">
        <f t="shared" si="117"/>
        <v>1.7602176424325582E-3</v>
      </c>
      <c r="W241" s="2"/>
      <c r="X241" s="7">
        <f t="shared" si="118"/>
        <v>-17764.41</v>
      </c>
      <c r="Y241" s="2"/>
      <c r="Z241" s="6">
        <f t="shared" si="119"/>
        <v>-0.7978625645632158</v>
      </c>
    </row>
    <row r="242" spans="1:26" s="28" customFormat="1" outlineLevel="1" collapsed="1" x14ac:dyDescent="0.25">
      <c r="A242" s="29"/>
      <c r="B242" s="14" t="str">
        <f>CONCATENATE("     ","Telephone/Data Lines                              ")</f>
        <v xml:space="preserve">     Telephone/Data Lines                              </v>
      </c>
      <c r="C242" s="14"/>
      <c r="D242" s="1">
        <f>SUM(OSRRefD22_23x_0)</f>
        <v>2147.4899999999998</v>
      </c>
      <c r="E242" s="1"/>
      <c r="F242" s="5">
        <f t="shared" ref="F242:F244" si="120">IF(D$12=0,0,D242/D$12)</f>
        <v>3.9321932550422526E-3</v>
      </c>
      <c r="G242" s="1"/>
      <c r="H242" s="1">
        <f>SUM(OSRRefH22_23x_0)</f>
        <v>4440</v>
      </c>
      <c r="I242" s="1"/>
      <c r="J242" s="5">
        <f t="shared" ref="J242:J244" si="121">IF(H$12=0,0,H242/H$12)</f>
        <v>2.8912160428629292E-3</v>
      </c>
      <c r="K242" s="1"/>
      <c r="L242" s="1">
        <f t="shared" ref="L242:L244" si="122">+D242-H242</f>
        <v>-2292.5100000000002</v>
      </c>
      <c r="M242" s="1"/>
      <c r="N242" s="5">
        <f t="shared" ref="N242:N244" si="123">IF(H242=0,0,L242/H242)</f>
        <v>-0.51633108108108117</v>
      </c>
      <c r="O242" s="14"/>
      <c r="P242" s="1">
        <f>SUM(OSRRefP22_23x_0)</f>
        <v>34873</v>
      </c>
      <c r="Q242" s="1"/>
      <c r="R242" s="5">
        <f t="shared" ref="R242:R244" si="124">IF(P$12=0,0,P242/P$12)</f>
        <v>4.876397393283478E-3</v>
      </c>
      <c r="S242" s="1"/>
      <c r="T242" s="1">
        <f>SUM(OSRRefT22_23x_0)</f>
        <v>39067</v>
      </c>
      <c r="U242" s="1"/>
      <c r="V242" s="5">
        <f t="shared" ref="V242:V244" si="125">IF(T$12=0,0,T242/T$12)</f>
        <v>3.0885435722844265E-3</v>
      </c>
      <c r="W242" s="1"/>
      <c r="X242" s="1">
        <f t="shared" ref="X242:X244" si="126">+P242-T242</f>
        <v>-4194</v>
      </c>
      <c r="Y242" s="1"/>
      <c r="Z242" s="5">
        <f t="shared" ref="Z242:Z244" si="127">IF(T242=0,0,X242/T242)</f>
        <v>-0.10735403281541966</v>
      </c>
    </row>
    <row r="243" spans="1:26" s="24" customFormat="1" hidden="1" outlineLevel="2" x14ac:dyDescent="0.25">
      <c r="A243" s="27"/>
      <c r="B243" s="11" t="str">
        <f>CONCATENATE("          ", "6303", " - ", "DATA PHONE LINES")</f>
        <v xml:space="preserve">          6303 - DATA PHONE LINES</v>
      </c>
      <c r="C243" s="11"/>
      <c r="D243" s="7">
        <v>590</v>
      </c>
      <c r="E243" s="2"/>
      <c r="F243" s="6">
        <f t="shared" si="120"/>
        <v>1.0803282066388805E-3</v>
      </c>
      <c r="G243" s="2"/>
      <c r="H243" s="7">
        <v>1500</v>
      </c>
      <c r="I243" s="2"/>
      <c r="J243" s="6">
        <f t="shared" si="121"/>
        <v>9.7676217664288147E-4</v>
      </c>
      <c r="K243" s="2"/>
      <c r="L243" s="7">
        <f t="shared" si="122"/>
        <v>-910</v>
      </c>
      <c r="M243" s="2"/>
      <c r="N243" s="6">
        <f t="shared" si="123"/>
        <v>-0.60666666666666669</v>
      </c>
      <c r="O243" s="11"/>
      <c r="P243" s="7">
        <v>2950</v>
      </c>
      <c r="Q243" s="2"/>
      <c r="R243" s="6">
        <f t="shared" si="124"/>
        <v>4.1250745018169531E-4</v>
      </c>
      <c r="S243" s="2"/>
      <c r="T243" s="7">
        <v>12037</v>
      </c>
      <c r="U243" s="2"/>
      <c r="V243" s="6">
        <f t="shared" si="125"/>
        <v>9.5161642766497664E-4</v>
      </c>
      <c r="W243" s="2"/>
      <c r="X243" s="7">
        <f t="shared" si="126"/>
        <v>-9087</v>
      </c>
      <c r="Y243" s="2"/>
      <c r="Z243" s="6">
        <f t="shared" si="127"/>
        <v>-0.75492232283791638</v>
      </c>
    </row>
    <row r="244" spans="1:26" s="24" customFormat="1" hidden="1" outlineLevel="2" x14ac:dyDescent="0.25">
      <c r="A244" s="27"/>
      <c r="B244" s="11" t="str">
        <f>CONCATENATE("          ", "6309", " - ", "TELEPHONE")</f>
        <v xml:space="preserve">          6309 - TELEPHONE</v>
      </c>
      <c r="C244" s="11"/>
      <c r="D244" s="7">
        <v>1557.49</v>
      </c>
      <c r="E244" s="2"/>
      <c r="F244" s="6">
        <f t="shared" si="120"/>
        <v>2.8518650484033723E-3</v>
      </c>
      <c r="G244" s="2"/>
      <c r="H244" s="7">
        <v>2940</v>
      </c>
      <c r="I244" s="2"/>
      <c r="J244" s="6">
        <f t="shared" si="121"/>
        <v>1.9144538662200475E-3</v>
      </c>
      <c r="K244" s="2"/>
      <c r="L244" s="7">
        <f t="shared" si="122"/>
        <v>-1382.51</v>
      </c>
      <c r="M244" s="2"/>
      <c r="N244" s="6">
        <f t="shared" si="123"/>
        <v>-0.47024149659863945</v>
      </c>
      <c r="O244" s="11"/>
      <c r="P244" s="7">
        <v>31923</v>
      </c>
      <c r="Q244" s="2"/>
      <c r="R244" s="6">
        <f t="shared" si="124"/>
        <v>4.4638899431017828E-3</v>
      </c>
      <c r="S244" s="2"/>
      <c r="T244" s="7">
        <v>27030</v>
      </c>
      <c r="U244" s="2"/>
      <c r="V244" s="6">
        <f t="shared" si="125"/>
        <v>2.1369271446194499E-3</v>
      </c>
      <c r="W244" s="2"/>
      <c r="X244" s="7">
        <f t="shared" si="126"/>
        <v>4893</v>
      </c>
      <c r="Y244" s="2"/>
      <c r="Z244" s="6">
        <f t="shared" si="127"/>
        <v>0.18102108768035516</v>
      </c>
    </row>
    <row r="245" spans="1:26" s="28" customFormat="1" outlineLevel="1" collapsed="1" x14ac:dyDescent="0.25">
      <c r="A245" s="29"/>
      <c r="B245" s="14" t="str">
        <f>CONCATENATE("     ","Training                                          ")</f>
        <v xml:space="preserve">     Training                                          </v>
      </c>
      <c r="C245" s="14"/>
      <c r="D245" s="1">
        <f>SUM(OSRRefD22_24x_0)</f>
        <v>750</v>
      </c>
      <c r="E245" s="1"/>
      <c r="F245" s="5">
        <f t="shared" ref="F245:F250" si="128">IF(D$12=0,0,D245/D$12)</f>
        <v>1.3732985677612885E-3</v>
      </c>
      <c r="G245" s="1"/>
      <c r="H245" s="1">
        <f>SUM(OSRRefH22_24x_0)</f>
        <v>6750</v>
      </c>
      <c r="I245" s="1"/>
      <c r="J245" s="5">
        <f t="shared" ref="J245:J250" si="129">IF(H$12=0,0,H245/H$12)</f>
        <v>4.3954297948929667E-3</v>
      </c>
      <c r="K245" s="1"/>
      <c r="L245" s="1">
        <f t="shared" ref="L245:L250" si="130">+D245-H245</f>
        <v>-6000</v>
      </c>
      <c r="M245" s="1"/>
      <c r="N245" s="5">
        <f t="shared" ref="N245:N250" si="131">IF(H245=0,0,L245/H245)</f>
        <v>-0.88888888888888884</v>
      </c>
      <c r="O245" s="14"/>
      <c r="P245" s="1">
        <f>SUM(OSRRefP22_24x_0)</f>
        <v>2130.63</v>
      </c>
      <c r="Q245" s="1"/>
      <c r="R245" s="5">
        <f t="shared" ref="R245:R250" si="132">IF(P$12=0,0,P245/P$12)</f>
        <v>2.9793245714597477E-4</v>
      </c>
      <c r="S245" s="1"/>
      <c r="T245" s="1">
        <f>SUM(OSRRefT22_24x_0)</f>
        <v>21860</v>
      </c>
      <c r="U245" s="1"/>
      <c r="V245" s="5">
        <f t="shared" ref="V245:V250" si="133">IF(T$12=0,0,T245/T$12)</f>
        <v>1.7281993111868729E-3</v>
      </c>
      <c r="W245" s="1"/>
      <c r="X245" s="1">
        <f t="shared" ref="X245:X250" si="134">+P245-T245</f>
        <v>-19729.37</v>
      </c>
      <c r="Y245" s="1"/>
      <c r="Z245" s="5">
        <f t="shared" ref="Z245:Z250" si="135">IF(T245=0,0,X245/T245)</f>
        <v>-0.90253293687099723</v>
      </c>
    </row>
    <row r="246" spans="1:26" s="24" customFormat="1" hidden="1" outlineLevel="2" x14ac:dyDescent="0.25">
      <c r="A246" s="27"/>
      <c r="B246" s="11" t="str">
        <f>CONCATENATE("          ", "6376", " - ", "TRAINING")</f>
        <v xml:space="preserve">          6376 - TRAINING</v>
      </c>
      <c r="C246" s="11"/>
      <c r="D246" s="7">
        <v>750</v>
      </c>
      <c r="E246" s="2"/>
      <c r="F246" s="6">
        <f t="shared" si="128"/>
        <v>1.3732985677612885E-3</v>
      </c>
      <c r="G246" s="2"/>
      <c r="H246" s="7">
        <v>6750</v>
      </c>
      <c r="I246" s="2"/>
      <c r="J246" s="6">
        <f t="shared" si="129"/>
        <v>4.3954297948929667E-3</v>
      </c>
      <c r="K246" s="2"/>
      <c r="L246" s="7">
        <f t="shared" si="130"/>
        <v>-6000</v>
      </c>
      <c r="M246" s="2"/>
      <c r="N246" s="6">
        <f t="shared" si="131"/>
        <v>-0.88888888888888884</v>
      </c>
      <c r="O246" s="11"/>
      <c r="P246" s="7">
        <v>2130.63</v>
      </c>
      <c r="Q246" s="2"/>
      <c r="R246" s="6">
        <f t="shared" si="132"/>
        <v>2.9793245714597477E-4</v>
      </c>
      <c r="S246" s="2"/>
      <c r="T246" s="7">
        <v>21860</v>
      </c>
      <c r="U246" s="2"/>
      <c r="V246" s="6">
        <f t="shared" si="133"/>
        <v>1.7281993111868729E-3</v>
      </c>
      <c r="W246" s="2"/>
      <c r="X246" s="7">
        <f t="shared" si="134"/>
        <v>-19729.37</v>
      </c>
      <c r="Y246" s="2"/>
      <c r="Z246" s="6">
        <f t="shared" si="135"/>
        <v>-0.90253293687099723</v>
      </c>
    </row>
    <row r="247" spans="1:26" s="28" customFormat="1" outlineLevel="1" collapsed="1" x14ac:dyDescent="0.25">
      <c r="A247" s="29"/>
      <c r="B247" s="14" t="str">
        <f>CONCATENATE("     ","Travel                                            ")</f>
        <v xml:space="preserve">     Travel                                            </v>
      </c>
      <c r="C247" s="14"/>
      <c r="D247" s="1">
        <f>SUM(OSRRefD22_25x_0)</f>
        <v>0</v>
      </c>
      <c r="E247" s="1"/>
      <c r="F247" s="5">
        <f t="shared" si="128"/>
        <v>0</v>
      </c>
      <c r="G247" s="1"/>
      <c r="H247" s="1">
        <f>SUM(OSRRefH22_25x_0)</f>
        <v>350</v>
      </c>
      <c r="I247" s="1"/>
      <c r="J247" s="5">
        <f t="shared" si="129"/>
        <v>2.2791117455000565E-4</v>
      </c>
      <c r="K247" s="1"/>
      <c r="L247" s="1">
        <f t="shared" si="130"/>
        <v>-350</v>
      </c>
      <c r="M247" s="1"/>
      <c r="N247" s="5">
        <f t="shared" si="131"/>
        <v>-1</v>
      </c>
      <c r="O247" s="14"/>
      <c r="P247" s="1">
        <f>SUM(OSRRefP22_25x_0)</f>
        <v>1142.52</v>
      </c>
      <c r="Q247" s="1"/>
      <c r="R247" s="5">
        <f t="shared" si="132"/>
        <v>1.597620379598612E-4</v>
      </c>
      <c r="S247" s="1"/>
      <c r="T247" s="1">
        <f>SUM(OSRRefT22_25x_0)</f>
        <v>4500</v>
      </c>
      <c r="U247" s="1"/>
      <c r="V247" s="5">
        <f t="shared" si="133"/>
        <v>3.5575923606317143E-4</v>
      </c>
      <c r="W247" s="1"/>
      <c r="X247" s="1">
        <f t="shared" si="134"/>
        <v>-3357.48</v>
      </c>
      <c r="Y247" s="1"/>
      <c r="Z247" s="5">
        <f t="shared" si="135"/>
        <v>-0.7461066666666667</v>
      </c>
    </row>
    <row r="248" spans="1:26" s="24" customFormat="1" hidden="1" outlineLevel="2" x14ac:dyDescent="0.25">
      <c r="A248" s="27"/>
      <c r="B248" s="11" t="str">
        <f>CONCATENATE("          ", "6292", " - ", "TRAVEL/CONFERENCE")</f>
        <v xml:space="preserve">          6292 - TRAVEL/CONFERENCE</v>
      </c>
      <c r="C248" s="11"/>
      <c r="D248" s="7"/>
      <c r="E248" s="2"/>
      <c r="F248" s="6">
        <f t="shared" si="128"/>
        <v>0</v>
      </c>
      <c r="G248" s="2"/>
      <c r="H248" s="7">
        <v>300</v>
      </c>
      <c r="I248" s="2"/>
      <c r="J248" s="6">
        <f t="shared" si="129"/>
        <v>1.9535243532857628E-4</v>
      </c>
      <c r="K248" s="2"/>
      <c r="L248" s="7">
        <f t="shared" si="130"/>
        <v>-300</v>
      </c>
      <c r="M248" s="2"/>
      <c r="N248" s="6">
        <f t="shared" si="131"/>
        <v>-1</v>
      </c>
      <c r="O248" s="11"/>
      <c r="P248" s="7">
        <v>299.16000000000003</v>
      </c>
      <c r="Q248" s="2"/>
      <c r="R248" s="6">
        <f t="shared" si="132"/>
        <v>4.1832450439442705E-5</v>
      </c>
      <c r="S248" s="2"/>
      <c r="T248" s="7">
        <v>3900</v>
      </c>
      <c r="U248" s="2"/>
      <c r="V248" s="6">
        <f t="shared" si="133"/>
        <v>3.0832467125474857E-4</v>
      </c>
      <c r="W248" s="2"/>
      <c r="X248" s="7">
        <f t="shared" si="134"/>
        <v>-3600.84</v>
      </c>
      <c r="Y248" s="2"/>
      <c r="Z248" s="6">
        <f t="shared" si="135"/>
        <v>-0.92329230769230775</v>
      </c>
    </row>
    <row r="249" spans="1:26" s="24" customFormat="1" hidden="1" outlineLevel="2" x14ac:dyDescent="0.25">
      <c r="A249" s="27"/>
      <c r="B249" s="11" t="str">
        <f>CONCATENATE("          ", "6294", " - ", "TRAVEL OPERATIONAL")</f>
        <v xml:space="preserve">          6294 - TRAVEL OPERATIONAL</v>
      </c>
      <c r="C249" s="11"/>
      <c r="D249" s="7"/>
      <c r="E249" s="2"/>
      <c r="F249" s="6">
        <f t="shared" si="128"/>
        <v>0</v>
      </c>
      <c r="G249" s="2"/>
      <c r="H249" s="7">
        <v>25</v>
      </c>
      <c r="I249" s="2"/>
      <c r="J249" s="6">
        <f t="shared" si="129"/>
        <v>1.6279369610714689E-5</v>
      </c>
      <c r="K249" s="2"/>
      <c r="L249" s="7">
        <f t="shared" si="130"/>
        <v>-25</v>
      </c>
      <c r="M249" s="2"/>
      <c r="N249" s="6">
        <f t="shared" si="131"/>
        <v>-1</v>
      </c>
      <c r="O249" s="11"/>
      <c r="P249" s="7">
        <v>451.26</v>
      </c>
      <c r="Q249" s="2"/>
      <c r="R249" s="6">
        <f t="shared" si="132"/>
        <v>6.3101054904742988E-5</v>
      </c>
      <c r="S249" s="2"/>
      <c r="T249" s="7">
        <v>200</v>
      </c>
      <c r="U249" s="2"/>
      <c r="V249" s="6">
        <f t="shared" si="133"/>
        <v>1.5811521602807619E-5</v>
      </c>
      <c r="W249" s="2"/>
      <c r="X249" s="7">
        <f t="shared" si="134"/>
        <v>251.26</v>
      </c>
      <c r="Y249" s="2"/>
      <c r="Z249" s="6">
        <f t="shared" si="135"/>
        <v>1.2563</v>
      </c>
    </row>
    <row r="250" spans="1:26" s="24" customFormat="1" hidden="1" outlineLevel="2" x14ac:dyDescent="0.25">
      <c r="A250" s="27"/>
      <c r="B250" s="11" t="str">
        <f>CONCATENATE("          ", "6298", " - ", "VEHICLE MILEAGE")</f>
        <v xml:space="preserve">          6298 - VEHICLE MILEAGE</v>
      </c>
      <c r="C250" s="11"/>
      <c r="D250" s="7"/>
      <c r="E250" s="2"/>
      <c r="F250" s="6">
        <f t="shared" si="128"/>
        <v>0</v>
      </c>
      <c r="G250" s="2"/>
      <c r="H250" s="7">
        <v>25</v>
      </c>
      <c r="I250" s="2"/>
      <c r="J250" s="6">
        <f t="shared" si="129"/>
        <v>1.6279369610714689E-5</v>
      </c>
      <c r="K250" s="2"/>
      <c r="L250" s="7">
        <f t="shared" si="130"/>
        <v>-25</v>
      </c>
      <c r="M250" s="2"/>
      <c r="N250" s="6">
        <f t="shared" si="131"/>
        <v>-1</v>
      </c>
      <c r="O250" s="11"/>
      <c r="P250" s="7">
        <v>392.1</v>
      </c>
      <c r="Q250" s="2"/>
      <c r="R250" s="6">
        <f t="shared" si="132"/>
        <v>5.4828532615675506E-5</v>
      </c>
      <c r="S250" s="2"/>
      <c r="T250" s="7">
        <v>400</v>
      </c>
      <c r="U250" s="2"/>
      <c r="V250" s="6">
        <f t="shared" si="133"/>
        <v>3.1623043205615238E-5</v>
      </c>
      <c r="W250" s="2"/>
      <c r="X250" s="7">
        <f t="shared" si="134"/>
        <v>-7.8999999999999773</v>
      </c>
      <c r="Y250" s="2"/>
      <c r="Z250" s="6">
        <f t="shared" si="135"/>
        <v>-1.9749999999999945E-2</v>
      </c>
    </row>
    <row r="251" spans="1:26" s="28" customFormat="1" outlineLevel="1" collapsed="1" x14ac:dyDescent="0.25">
      <c r="A251" s="29"/>
      <c r="B251" s="14" t="str">
        <f>CONCATENATE("     ","Utilities                                         ")</f>
        <v xml:space="preserve">     Utilities                                         </v>
      </c>
      <c r="C251" s="14"/>
      <c r="D251" s="1">
        <f>SUM(OSRRefD22_26x_0)</f>
        <v>10957.14</v>
      </c>
      <c r="E251" s="1"/>
      <c r="F251" s="5">
        <f t="shared" ref="F251:F252" si="136">IF(D$12=0,0,D251/D$12)</f>
        <v>2.00632328916799E-2</v>
      </c>
      <c r="G251" s="1"/>
      <c r="H251" s="1">
        <f>SUM(OSRRefH22_26x_0)</f>
        <v>12950</v>
      </c>
      <c r="I251" s="1"/>
      <c r="J251" s="5">
        <f t="shared" ref="J251:J252" si="137">IF(H$12=0,0,H251/H$12)</f>
        <v>8.4327134583502099E-3</v>
      </c>
      <c r="K251" s="1"/>
      <c r="L251" s="1">
        <f t="shared" ref="L251:L252" si="138">+D251-H251</f>
        <v>-1992.8600000000006</v>
      </c>
      <c r="M251" s="1"/>
      <c r="N251" s="5">
        <f t="shared" ref="N251:N252" si="139">IF(H251=0,0,L251/H251)</f>
        <v>-0.15388880308880312</v>
      </c>
      <c r="O251" s="14"/>
      <c r="P251" s="1">
        <f>SUM(OSRRefP22_26x_0)</f>
        <v>63230.17</v>
      </c>
      <c r="Q251" s="1"/>
      <c r="R251" s="5">
        <f t="shared" ref="R251:R252" si="140">IF(P$12=0,0,P251/P$12)</f>
        <v>8.8416665089000417E-3</v>
      </c>
      <c r="S251" s="1"/>
      <c r="T251" s="1">
        <f>SUM(OSRRefT22_26x_0)</f>
        <v>85269</v>
      </c>
      <c r="U251" s="1"/>
      <c r="V251" s="5">
        <f t="shared" ref="V251:V252" si="141">IF(T$12=0,0,T251/T$12)</f>
        <v>6.7411631777490148E-3</v>
      </c>
      <c r="W251" s="1"/>
      <c r="X251" s="1">
        <f t="shared" ref="X251:X252" si="142">+P251-T251</f>
        <v>-22038.83</v>
      </c>
      <c r="Y251" s="1"/>
      <c r="Z251" s="5">
        <f t="shared" ref="Z251:Z252" si="143">IF(T251=0,0,X251/T251)</f>
        <v>-0.25846239547784072</v>
      </c>
    </row>
    <row r="252" spans="1:26" s="24" customFormat="1" hidden="1" outlineLevel="2" x14ac:dyDescent="0.25">
      <c r="A252" s="27"/>
      <c r="B252" s="11" t="str">
        <f>CONCATENATE("          ", "6274", " - ", "UTILITIES")</f>
        <v xml:space="preserve">          6274 - UTILITIES</v>
      </c>
      <c r="C252" s="11"/>
      <c r="D252" s="7">
        <v>10957.14</v>
      </c>
      <c r="E252" s="2"/>
      <c r="F252" s="6">
        <f t="shared" si="136"/>
        <v>2.00632328916799E-2</v>
      </c>
      <c r="G252" s="2"/>
      <c r="H252" s="7">
        <v>12950</v>
      </c>
      <c r="I252" s="2"/>
      <c r="J252" s="6">
        <f t="shared" si="137"/>
        <v>8.4327134583502099E-3</v>
      </c>
      <c r="K252" s="2"/>
      <c r="L252" s="7">
        <f t="shared" si="138"/>
        <v>-1992.8600000000006</v>
      </c>
      <c r="M252" s="2"/>
      <c r="N252" s="6">
        <f t="shared" si="139"/>
        <v>-0.15388880308880312</v>
      </c>
      <c r="O252" s="11"/>
      <c r="P252" s="7">
        <v>63230.17</v>
      </c>
      <c r="Q252" s="2"/>
      <c r="R252" s="6">
        <f t="shared" si="140"/>
        <v>8.8416665089000417E-3</v>
      </c>
      <c r="S252" s="2"/>
      <c r="T252" s="7">
        <v>85269</v>
      </c>
      <c r="U252" s="2"/>
      <c r="V252" s="6">
        <f t="shared" si="141"/>
        <v>6.7411631777490148E-3</v>
      </c>
      <c r="W252" s="2"/>
      <c r="X252" s="7">
        <f t="shared" si="142"/>
        <v>-22038.83</v>
      </c>
      <c r="Y252" s="2"/>
      <c r="Z252" s="6">
        <f t="shared" si="143"/>
        <v>-0.25846239547784072</v>
      </c>
    </row>
    <row r="253" spans="1:26" s="58" customFormat="1" x14ac:dyDescent="0.25">
      <c r="A253" s="36"/>
      <c r="B253" s="36"/>
      <c r="C253" s="36"/>
      <c r="D253" s="1"/>
      <c r="E253" s="1"/>
      <c r="F253" s="5"/>
      <c r="G253" s="1"/>
      <c r="H253" s="1"/>
      <c r="I253" s="1"/>
      <c r="J253" s="5"/>
      <c r="K253" s="1"/>
      <c r="L253" s="1"/>
      <c r="M253" s="1"/>
      <c r="N253" s="5"/>
      <c r="O253" s="36"/>
      <c r="P253" s="1"/>
      <c r="Q253" s="1"/>
      <c r="R253" s="5"/>
      <c r="S253" s="1"/>
      <c r="T253" s="1"/>
      <c r="U253" s="1"/>
      <c r="V253" s="5"/>
      <c r="W253" s="1"/>
      <c r="X253" s="1"/>
      <c r="Y253" s="1"/>
      <c r="Z253" s="5"/>
    </row>
    <row r="254" spans="1:26" s="23" customFormat="1" collapsed="1" x14ac:dyDescent="0.25">
      <c r="A254" s="10"/>
      <c r="B254" s="26" t="s">
        <v>0</v>
      </c>
      <c r="C254" s="10"/>
      <c r="D254" s="4">
        <f>SUM(OSRRefD25x_0)</f>
        <v>199158.76</v>
      </c>
      <c r="E254" s="4"/>
      <c r="F254" s="12">
        <f t="shared" ref="F254:F261" si="144">IF(D$12=0,0,D254/D$12)</f>
        <v>0.36467258648681894</v>
      </c>
      <c r="G254" s="4"/>
      <c r="H254" s="4">
        <f>SUM(OSRRefH25x_0)</f>
        <v>125594</v>
      </c>
      <c r="I254" s="4"/>
      <c r="J254" s="12">
        <f t="shared" ref="J254:J261" si="145">IF(H$12=0,0,H254/H$12)</f>
        <v>8.178364587552403E-2</v>
      </c>
      <c r="K254" s="4"/>
      <c r="L254" s="4">
        <f t="shared" ref="L254:L261" si="146">+D254-H254</f>
        <v>73564.760000000009</v>
      </c>
      <c r="M254" s="4"/>
      <c r="N254" s="12">
        <f t="shared" ref="N254:N261" si="147">IF(H254=0,0,L254/H254)</f>
        <v>0.5857346688536077</v>
      </c>
      <c r="O254" s="10"/>
      <c r="P254" s="4">
        <f>SUM(OSRRefP25x_0)</f>
        <v>794011.95</v>
      </c>
      <c r="Q254" s="4"/>
      <c r="R254" s="12">
        <f t="shared" ref="R254:R261" si="148">IF(P$12=0,0,P254/P$12)</f>
        <v>0.1110290999689138</v>
      </c>
      <c r="S254" s="4"/>
      <c r="T254" s="4">
        <f>SUM(OSRRefT25x_0)</f>
        <v>706097</v>
      </c>
      <c r="U254" s="4"/>
      <c r="V254" s="12">
        <f t="shared" ref="V254:V261" si="149">IF(T$12=0,0,T254/T$12)</f>
        <v>5.5822339845888261E-2</v>
      </c>
      <c r="W254" s="4"/>
      <c r="X254" s="4">
        <f t="shared" ref="X254:X261" si="150">+P254-T254</f>
        <v>87914.949999999953</v>
      </c>
      <c r="Y254" s="4"/>
      <c r="Z254" s="12">
        <f t="shared" ref="Z254:Z261" si="151">IF(T254=0,0,X254/T254)</f>
        <v>0.1245083182622217</v>
      </c>
    </row>
    <row r="255" spans="1:26" s="24" customFormat="1" hidden="1" outlineLevel="1" x14ac:dyDescent="0.25">
      <c r="A255" s="51"/>
      <c r="B255" s="11" t="str">
        <f>CONCATENATE("          ", "4187", " - ", "NON-TAXABLE SALES-COMPUTER REP")</f>
        <v xml:space="preserve">          4187 - NON-TAXABLE SALES-COMPUTER REP</v>
      </c>
      <c r="C255" s="11"/>
      <c r="D255" s="2">
        <f>-231.36</f>
        <v>-231.36</v>
      </c>
      <c r="E255" s="2"/>
      <c r="F255" s="22">
        <f t="shared" si="144"/>
        <v>-4.236351421830023E-4</v>
      </c>
      <c r="G255" s="2"/>
      <c r="H255" s="2"/>
      <c r="I255" s="2"/>
      <c r="J255" s="22">
        <f t="shared" si="145"/>
        <v>0</v>
      </c>
      <c r="K255" s="2"/>
      <c r="L255" s="2">
        <f t="shared" si="146"/>
        <v>-231.36</v>
      </c>
      <c r="M255" s="2"/>
      <c r="N255" s="22">
        <f t="shared" si="147"/>
        <v>0</v>
      </c>
      <c r="O255" s="11"/>
      <c r="P255" s="2">
        <f>--1454.51</f>
        <v>1454.51</v>
      </c>
      <c r="Q255" s="2"/>
      <c r="R255" s="22">
        <f t="shared" si="148"/>
        <v>2.0338854622500935E-4</v>
      </c>
      <c r="S255" s="2"/>
      <c r="T255" s="2"/>
      <c r="U255" s="2"/>
      <c r="V255" s="22">
        <f t="shared" si="149"/>
        <v>0</v>
      </c>
      <c r="W255" s="2"/>
      <c r="X255" s="2">
        <f t="shared" si="150"/>
        <v>1454.51</v>
      </c>
      <c r="Y255" s="2"/>
      <c r="Z255" s="22">
        <f t="shared" si="151"/>
        <v>0</v>
      </c>
    </row>
    <row r="256" spans="1:26" s="24" customFormat="1" hidden="1" outlineLevel="1" x14ac:dyDescent="0.25">
      <c r="A256" s="51"/>
      <c r="B256" s="11" t="str">
        <f>CONCATENATE("          ", "9150", " - ", "MISC. INCOME")</f>
        <v xml:space="preserve">          9150 - MISC. INCOME</v>
      </c>
      <c r="C256" s="11"/>
      <c r="D256" s="2">
        <f>--53240.82</f>
        <v>53240.82</v>
      </c>
      <c r="E256" s="2"/>
      <c r="F256" s="22">
        <f t="shared" si="144"/>
        <v>9.7487389136582087E-2</v>
      </c>
      <c r="G256" s="2"/>
      <c r="H256" s="2">
        <v>28428</v>
      </c>
      <c r="I256" s="2"/>
      <c r="J256" s="22">
        <f t="shared" si="145"/>
        <v>1.8511596771735889E-2</v>
      </c>
      <c r="K256" s="2"/>
      <c r="L256" s="2">
        <f t="shared" si="146"/>
        <v>24812.82</v>
      </c>
      <c r="M256" s="2"/>
      <c r="N256" s="22">
        <f t="shared" si="147"/>
        <v>0.87283030814689744</v>
      </c>
      <c r="O256" s="11"/>
      <c r="P256" s="2">
        <f>--303892.36</f>
        <v>303892.36</v>
      </c>
      <c r="Q256" s="2"/>
      <c r="R256" s="22">
        <f t="shared" si="148"/>
        <v>4.2494190696033156E-2</v>
      </c>
      <c r="S256" s="2"/>
      <c r="T256" s="2">
        <v>216094</v>
      </c>
      <c r="U256" s="2"/>
      <c r="V256" s="22">
        <f t="shared" si="149"/>
        <v>1.708387474618555E-2</v>
      </c>
      <c r="W256" s="2"/>
      <c r="X256" s="2">
        <f t="shared" si="150"/>
        <v>87798.359999999986</v>
      </c>
      <c r="Y256" s="2"/>
      <c r="Z256" s="22">
        <f t="shared" si="151"/>
        <v>0.40629707442131657</v>
      </c>
    </row>
    <row r="257" spans="1:26" s="24" customFormat="1" hidden="1" outlineLevel="1" x14ac:dyDescent="0.25">
      <c r="A257" s="51"/>
      <c r="B257" s="11" t="str">
        <f>CONCATENATE("          ", "9151", " - ", "MISC. INCOME")</f>
        <v xml:space="preserve">          9151 - MISC. INCOME</v>
      </c>
      <c r="C257" s="11"/>
      <c r="D257" s="2">
        <f>--148653.31</f>
        <v>148653.31</v>
      </c>
      <c r="E257" s="2"/>
      <c r="F257" s="22">
        <f t="shared" si="144"/>
        <v>0.27219383695463312</v>
      </c>
      <c r="G257" s="2"/>
      <c r="H257" s="2">
        <v>95982</v>
      </c>
      <c r="I257" s="2"/>
      <c r="J257" s="22">
        <f t="shared" si="145"/>
        <v>6.2501058159024694E-2</v>
      </c>
      <c r="K257" s="2"/>
      <c r="L257" s="2">
        <f t="shared" si="146"/>
        <v>52671.31</v>
      </c>
      <c r="M257" s="2"/>
      <c r="N257" s="22">
        <f t="shared" si="147"/>
        <v>0.54876237211143752</v>
      </c>
      <c r="O257" s="11"/>
      <c r="P257" s="2">
        <f>--297910.7</f>
        <v>297910.7</v>
      </c>
      <c r="Q257" s="2"/>
      <c r="R257" s="22">
        <f t="shared" si="148"/>
        <v>4.16577570301166E-2</v>
      </c>
      <c r="S257" s="2"/>
      <c r="T257" s="2">
        <v>481873</v>
      </c>
      <c r="U257" s="2"/>
      <c r="V257" s="22">
        <f t="shared" si="149"/>
        <v>3.8095726746548583E-2</v>
      </c>
      <c r="W257" s="2"/>
      <c r="X257" s="2">
        <f t="shared" si="150"/>
        <v>-183962.3</v>
      </c>
      <c r="Y257" s="2"/>
      <c r="Z257" s="22">
        <f t="shared" si="151"/>
        <v>-0.38176511238438343</v>
      </c>
    </row>
    <row r="258" spans="1:26" s="24" customFormat="1" hidden="1" outlineLevel="1" x14ac:dyDescent="0.25">
      <c r="A258" s="51"/>
      <c r="B258" s="11" t="str">
        <f>CONCATENATE("          ", "9152", " - ", "MISC. INCOME")</f>
        <v xml:space="preserve">          9152 - MISC. INCOME</v>
      </c>
      <c r="C258" s="11"/>
      <c r="D258" s="2">
        <f>--81.19</f>
        <v>81.19</v>
      </c>
      <c r="E258" s="2"/>
      <c r="F258" s="22">
        <f t="shared" si="144"/>
        <v>1.4866414762205202E-4</v>
      </c>
      <c r="G258" s="2"/>
      <c r="H258" s="2"/>
      <c r="I258" s="2"/>
      <c r="J258" s="22">
        <f t="shared" si="145"/>
        <v>0</v>
      </c>
      <c r="K258" s="2"/>
      <c r="L258" s="2">
        <f t="shared" si="146"/>
        <v>81.19</v>
      </c>
      <c r="M258" s="2"/>
      <c r="N258" s="22">
        <f t="shared" si="147"/>
        <v>0</v>
      </c>
      <c r="O258" s="11"/>
      <c r="P258" s="2">
        <f>--3313.45</f>
        <v>3313.45</v>
      </c>
      <c r="Q258" s="2"/>
      <c r="R258" s="22">
        <f t="shared" si="148"/>
        <v>4.6332976637441972E-4</v>
      </c>
      <c r="S258" s="2"/>
      <c r="T258" s="2"/>
      <c r="U258" s="2"/>
      <c r="V258" s="22">
        <f t="shared" si="149"/>
        <v>0</v>
      </c>
      <c r="W258" s="2"/>
      <c r="X258" s="2">
        <f t="shared" si="150"/>
        <v>3313.45</v>
      </c>
      <c r="Y258" s="2"/>
      <c r="Z258" s="22">
        <f t="shared" si="151"/>
        <v>0</v>
      </c>
    </row>
    <row r="259" spans="1:26" s="24" customFormat="1" hidden="1" outlineLevel="1" x14ac:dyDescent="0.25">
      <c r="A259" s="51"/>
      <c r="B259" s="11" t="str">
        <f>CONCATENATE("          ", "9160", " - ", "MISC. INCOME")</f>
        <v xml:space="preserve">          9160 - MISC. INCOME</v>
      </c>
      <c r="C259" s="11"/>
      <c r="D259" s="2">
        <f>--364.79</f>
        <v>364.79</v>
      </c>
      <c r="E259" s="2"/>
      <c r="F259" s="22">
        <f t="shared" si="144"/>
        <v>6.6795411271152068E-4</v>
      </c>
      <c r="G259" s="2"/>
      <c r="H259" s="2">
        <v>1184</v>
      </c>
      <c r="I259" s="2"/>
      <c r="J259" s="22">
        <f t="shared" si="145"/>
        <v>7.7099094476344775E-4</v>
      </c>
      <c r="K259" s="2"/>
      <c r="L259" s="2">
        <f t="shared" si="146"/>
        <v>-819.21</v>
      </c>
      <c r="M259" s="2"/>
      <c r="N259" s="22">
        <f t="shared" si="147"/>
        <v>-0.69190033783783789</v>
      </c>
      <c r="O259" s="11"/>
      <c r="P259" s="2">
        <f>--12882.96</f>
        <v>12882.96</v>
      </c>
      <c r="Q259" s="2"/>
      <c r="R259" s="22">
        <f t="shared" si="148"/>
        <v>1.8014633831839909E-3</v>
      </c>
      <c r="S259" s="2"/>
      <c r="T259" s="2">
        <v>8130</v>
      </c>
      <c r="U259" s="2"/>
      <c r="V259" s="22">
        <f t="shared" si="149"/>
        <v>6.4273835315412976E-4</v>
      </c>
      <c r="W259" s="2"/>
      <c r="X259" s="2">
        <f t="shared" si="150"/>
        <v>4752.9599999999991</v>
      </c>
      <c r="Y259" s="2"/>
      <c r="Z259" s="22">
        <f t="shared" si="151"/>
        <v>0.58461992619926184</v>
      </c>
    </row>
    <row r="260" spans="1:26" s="24" customFormat="1" hidden="1" outlineLevel="1" x14ac:dyDescent="0.25">
      <c r="A260" s="51"/>
      <c r="B260" s="11" t="str">
        <f>CONCATENATE("          ", "9163", " - ", "MISC. INCOME")</f>
        <v xml:space="preserve">          9163 - MISC. INCOME</v>
      </c>
      <c r="C260" s="11"/>
      <c r="D260" s="2">
        <f>-3986.08</f>
        <v>-3986.08</v>
      </c>
      <c r="E260" s="2"/>
      <c r="F260" s="22">
        <f t="shared" si="144"/>
        <v>-7.2987706066425561E-3</v>
      </c>
      <c r="G260" s="2"/>
      <c r="H260" s="2"/>
      <c r="I260" s="2"/>
      <c r="J260" s="22">
        <f t="shared" si="145"/>
        <v>0</v>
      </c>
      <c r="K260" s="2"/>
      <c r="L260" s="2">
        <f t="shared" si="146"/>
        <v>-3986.08</v>
      </c>
      <c r="M260" s="2"/>
      <c r="N260" s="22">
        <f t="shared" si="147"/>
        <v>0</v>
      </c>
      <c r="O260" s="11"/>
      <c r="P260" s="2">
        <f>--171419.76</f>
        <v>171419.76</v>
      </c>
      <c r="Q260" s="2"/>
      <c r="R260" s="22">
        <f t="shared" si="148"/>
        <v>2.3970145121477347E-2</v>
      </c>
      <c r="S260" s="2"/>
      <c r="T260" s="2"/>
      <c r="U260" s="2"/>
      <c r="V260" s="22">
        <f t="shared" si="149"/>
        <v>0</v>
      </c>
      <c r="W260" s="2"/>
      <c r="X260" s="2">
        <f t="shared" si="150"/>
        <v>171419.76</v>
      </c>
      <c r="Y260" s="2"/>
      <c r="Z260" s="22">
        <f t="shared" si="151"/>
        <v>0</v>
      </c>
    </row>
    <row r="261" spans="1:26" s="24" customFormat="1" hidden="1" outlineLevel="1" x14ac:dyDescent="0.25">
      <c r="A261" s="51"/>
      <c r="B261" s="11" t="str">
        <f>CONCATENATE("          ", "9165", " - ", "OTHER INCOME")</f>
        <v xml:space="preserve">          9165 - OTHER INCOME</v>
      </c>
      <c r="C261" s="11"/>
      <c r="D261" s="2">
        <f>--1036.09</f>
        <v>1036.0899999999999</v>
      </c>
      <c r="E261" s="2"/>
      <c r="F261" s="22">
        <f t="shared" si="144"/>
        <v>1.8971478840957244E-3</v>
      </c>
      <c r="G261" s="2"/>
      <c r="H261" s="2"/>
      <c r="I261" s="2"/>
      <c r="J261" s="22">
        <f t="shared" si="145"/>
        <v>0</v>
      </c>
      <c r="K261" s="2"/>
      <c r="L261" s="2">
        <f t="shared" si="146"/>
        <v>1036.0899999999999</v>
      </c>
      <c r="M261" s="2"/>
      <c r="N261" s="22">
        <f t="shared" si="147"/>
        <v>0</v>
      </c>
      <c r="O261" s="11"/>
      <c r="P261" s="2">
        <f>--3138.21</f>
        <v>3138.21</v>
      </c>
      <c r="Q261" s="2"/>
      <c r="R261" s="22">
        <f t="shared" si="148"/>
        <v>4.3882542550328744E-4</v>
      </c>
      <c r="S261" s="2"/>
      <c r="T261" s="2"/>
      <c r="U261" s="2"/>
      <c r="V261" s="22">
        <f t="shared" si="149"/>
        <v>0</v>
      </c>
      <c r="W261" s="2"/>
      <c r="X261" s="2">
        <f t="shared" si="150"/>
        <v>3138.21</v>
      </c>
      <c r="Y261" s="2"/>
      <c r="Z261" s="22">
        <f t="shared" si="151"/>
        <v>0</v>
      </c>
    </row>
    <row r="262" spans="1:26" x14ac:dyDescent="0.25">
      <c r="A262" s="9"/>
      <c r="B262" s="10"/>
      <c r="C262" s="10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O262" s="10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10"/>
      <c r="B263" s="25" t="s">
        <v>3</v>
      </c>
      <c r="C263" s="25"/>
      <c r="D263" s="19">
        <f>+D146-D148+D254</f>
        <v>-225248.68000000005</v>
      </c>
      <c r="E263" s="13"/>
      <c r="F263" s="21">
        <f>IF(D$12=0,0,D263/D$12)</f>
        <v>-0.41244491951216117</v>
      </c>
      <c r="G263" s="13"/>
      <c r="H263" s="19">
        <f>+H146-H148+H254</f>
        <v>8367.0588467542548</v>
      </c>
      <c r="I263" s="13"/>
      <c r="J263" s="21">
        <f>IF(H$12=0,0,H263/H$12)</f>
        <v>5.448417740836509E-3</v>
      </c>
      <c r="K263" s="15"/>
      <c r="L263" s="19">
        <f>+D263-H263</f>
        <v>-233615.73884675431</v>
      </c>
      <c r="M263" s="15"/>
      <c r="N263" s="21">
        <f>IF(H263=0,0,L263/H263)</f>
        <v>-27.920891095128177</v>
      </c>
      <c r="O263" s="26"/>
      <c r="P263" s="19">
        <f>+P146-P148+P254</f>
        <v>-2039873.6499999969</v>
      </c>
      <c r="Q263" s="13"/>
      <c r="R263" s="21">
        <f>IF(P$12=0,0,P263/P$12)</f>
        <v>-0.285241721374348</v>
      </c>
      <c r="S263" s="13"/>
      <c r="T263" s="19">
        <f>+T146-T148+T254</f>
        <v>-1149398.6901746998</v>
      </c>
      <c r="U263" s="13"/>
      <c r="V263" s="21">
        <f>IF(T$12=0,0,T263/T$12)</f>
        <v>-9.0868711099680241E-2</v>
      </c>
      <c r="W263" s="15"/>
      <c r="X263" s="19">
        <f>+P263-T263</f>
        <v>-890474.95982529712</v>
      </c>
      <c r="Y263" s="15"/>
      <c r="Z263" s="21">
        <f>IF(T263=0,0,X263/T263)</f>
        <v>0.77473114197646409</v>
      </c>
    </row>
    <row r="264" spans="1:26" x14ac:dyDescent="0.25">
      <c r="A264" s="9"/>
      <c r="B264" s="10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x14ac:dyDescent="0.25">
      <c r="A265" s="52"/>
      <c r="B265" s="10" t="s">
        <v>14</v>
      </c>
      <c r="C265" s="10"/>
      <c r="D265" s="4">
        <v>217201.56999999998</v>
      </c>
      <c r="E265" s="4"/>
      <c r="F265" s="12">
        <f>IF(D$12=0,0,D265/D$12)</f>
        <v>0.39771013999533766</v>
      </c>
      <c r="G265" s="4"/>
      <c r="H265" s="4">
        <v>245422</v>
      </c>
      <c r="I265" s="4"/>
      <c r="J265" s="12">
        <f>IF(H$12=0,0,H265/H$12)</f>
        <v>0.15981261794403284</v>
      </c>
      <c r="K265" s="4"/>
      <c r="L265" s="4">
        <f>+D265-H265</f>
        <v>-28220.430000000022</v>
      </c>
      <c r="M265" s="4"/>
      <c r="N265" s="12">
        <f>IF(H265=0,0,L265/H265)</f>
        <v>-0.11498736869555305</v>
      </c>
      <c r="O265" s="10"/>
      <c r="P265" s="4">
        <v>1416230.23</v>
      </c>
      <c r="Q265" s="4"/>
      <c r="R265" s="12">
        <f>IF(P$12=0,0,P265/P$12)</f>
        <v>0.19803576984662233</v>
      </c>
      <c r="S265" s="4"/>
      <c r="T265" s="4">
        <v>2179541</v>
      </c>
      <c r="U265" s="4"/>
      <c r="V265" s="12">
        <f>IF(T$12=0,0,T265/T$12)</f>
        <v>0.17230929802852463</v>
      </c>
      <c r="W265" s="4"/>
      <c r="X265" s="4">
        <f>+P265-T265</f>
        <v>-763310.77</v>
      </c>
      <c r="Y265" s="4"/>
      <c r="Z265" s="12">
        <f>IF(T265=0,0,X265/T265)</f>
        <v>-0.35021629324706444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5" t="s">
        <v>4</v>
      </c>
      <c r="C267" s="25"/>
      <c r="D267" s="34">
        <f>+D263-D265</f>
        <v>-442450.25</v>
      </c>
      <c r="E267" s="13"/>
      <c r="F267" s="30">
        <f>IF(D$12=0,0,D267/D$12)</f>
        <v>-0.81015505950749878</v>
      </c>
      <c r="G267" s="13"/>
      <c r="H267" s="34">
        <f>+H263-H265</f>
        <v>-237054.94115324575</v>
      </c>
      <c r="I267" s="13"/>
      <c r="J267" s="30">
        <f>IF(H$12=0,0,H267/H$12)</f>
        <v>-0.15436420020319633</v>
      </c>
      <c r="K267" s="15"/>
      <c r="L267" s="34">
        <f>D267-H267</f>
        <v>-205395.30884675425</v>
      </c>
      <c r="M267" s="15"/>
      <c r="N267" s="30">
        <f>IF(H267=0,0,L267/H267)</f>
        <v>0.86644601393891674</v>
      </c>
      <c r="O267" s="26"/>
      <c r="P267" s="34">
        <f>+P263-P265</f>
        <v>-3456103.8799999971</v>
      </c>
      <c r="Q267" s="13"/>
      <c r="R267" s="30">
        <f>IF(P$12=0,0,P267/P$12)</f>
        <v>-0.48327749122097041</v>
      </c>
      <c r="S267" s="13"/>
      <c r="T267" s="34">
        <f>+T263-T265</f>
        <v>-3328939.6901746998</v>
      </c>
      <c r="U267" s="13"/>
      <c r="V267" s="30">
        <f>IF(T$12=0,0,T267/T$12)</f>
        <v>-0.26317800912820488</v>
      </c>
      <c r="W267" s="15"/>
      <c r="X267" s="34">
        <f>P267-T267</f>
        <v>-127164.18982529733</v>
      </c>
      <c r="Y267" s="15"/>
      <c r="Z267" s="30">
        <f>IF(T267=0,0,X267/T267)</f>
        <v>3.8199607580942346E-2</v>
      </c>
    </row>
    <row r="268" spans="1:26" ht="15.75" thickTop="1" x14ac:dyDescent="0.25">
      <c r="A268" s="9"/>
      <c r="B268" s="9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52"/>
      <c r="B269" s="10" t="s">
        <v>2</v>
      </c>
      <c r="C269" s="10"/>
      <c r="D269" s="4">
        <f>--233369.99</f>
        <v>233369.99</v>
      </c>
      <c r="E269" s="4"/>
      <c r="F269" s="12">
        <f t="shared" ref="F269:F270" si="152">IF(D$12=0,0,D269/D$12)</f>
        <v>0.42731556403395499</v>
      </c>
      <c r="G269" s="4"/>
      <c r="H269" s="4">
        <f t="shared" ref="H269:H270" si="153">--15000</f>
        <v>15000</v>
      </c>
      <c r="I269" s="4"/>
      <c r="J269" s="12">
        <f t="shared" ref="J269:J270" si="154">IF(H$12=0,0,H269/H$12)</f>
        <v>9.7676217664288134E-3</v>
      </c>
      <c r="K269" s="4"/>
      <c r="L269" s="4">
        <f t="shared" ref="L269:L270" si="155">+D269-H269</f>
        <v>218369.99</v>
      </c>
      <c r="M269" s="4"/>
      <c r="N269" s="12">
        <f t="shared" ref="N269:N270" si="156">IF(H269=0,0,L269/H269)</f>
        <v>14.557999333333333</v>
      </c>
      <c r="O269" s="10"/>
      <c r="P269" s="4">
        <f>--2191553.97</f>
        <v>2191553.9700000002</v>
      </c>
      <c r="Q269" s="4"/>
      <c r="R269" s="12">
        <f t="shared" ref="R269:R270" si="157">IF(P$12=0,0,P269/P$12)</f>
        <v>0.30645164071195652</v>
      </c>
      <c r="S269" s="4"/>
      <c r="T269" s="4">
        <f t="shared" ref="T269:T270" si="158">--120000</f>
        <v>120000</v>
      </c>
      <c r="U269" s="4"/>
      <c r="V269" s="12">
        <f t="shared" ref="V269:V270" si="159">IF(T$12=0,0,T269/T$12)</f>
        <v>9.4869129616845724E-3</v>
      </c>
      <c r="W269" s="4"/>
      <c r="X269" s="4">
        <f t="shared" ref="X269:X270" si="160">+P269-T269</f>
        <v>2071553.9700000002</v>
      </c>
      <c r="Y269" s="4"/>
      <c r="Z269" s="12">
        <f t="shared" ref="Z269:Z270" si="161">IF(T269=0,0,X269/T269)</f>
        <v>17.262949750000001</v>
      </c>
    </row>
    <row r="270" spans="1:26" s="23" customFormat="1" x14ac:dyDescent="0.25">
      <c r="A270" s="52"/>
      <c r="B270" s="10" t="s">
        <v>1</v>
      </c>
      <c r="C270" s="10"/>
      <c r="D270" s="4">
        <f>--12479.26</f>
        <v>12479.26</v>
      </c>
      <c r="E270" s="4"/>
      <c r="F270" s="12">
        <f t="shared" si="152"/>
        <v>2.285033317962765E-2</v>
      </c>
      <c r="G270" s="4"/>
      <c r="H270" s="4">
        <f t="shared" si="153"/>
        <v>15000</v>
      </c>
      <c r="I270" s="4"/>
      <c r="J270" s="12">
        <f t="shared" si="154"/>
        <v>9.7676217664288134E-3</v>
      </c>
      <c r="K270" s="4"/>
      <c r="L270" s="4">
        <f t="shared" si="155"/>
        <v>-2520.7399999999998</v>
      </c>
      <c r="M270" s="4"/>
      <c r="N270" s="12">
        <f t="shared" si="156"/>
        <v>-0.16804933333333333</v>
      </c>
      <c r="O270" s="10"/>
      <c r="P270" s="4">
        <f>--67055.26</f>
        <v>67055.259999999995</v>
      </c>
      <c r="Q270" s="4"/>
      <c r="R270" s="12">
        <f t="shared" si="157"/>
        <v>9.3765404487697029E-3</v>
      </c>
      <c r="S270" s="4"/>
      <c r="T270" s="4">
        <f t="shared" si="158"/>
        <v>120000</v>
      </c>
      <c r="U270" s="4"/>
      <c r="V270" s="12">
        <f t="shared" si="159"/>
        <v>9.4869129616845724E-3</v>
      </c>
      <c r="W270" s="4"/>
      <c r="X270" s="4">
        <f t="shared" si="160"/>
        <v>-52944.740000000005</v>
      </c>
      <c r="Y270" s="4"/>
      <c r="Z270" s="12">
        <f t="shared" si="161"/>
        <v>-0.44120616666666673</v>
      </c>
    </row>
    <row r="271" spans="1:26" x14ac:dyDescent="0.25">
      <c r="A271" s="9"/>
      <c r="B271" s="9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ht="15.75" thickBot="1" x14ac:dyDescent="0.3">
      <c r="A272" s="10"/>
      <c r="B272" s="25" t="s">
        <v>5</v>
      </c>
      <c r="C272" s="25"/>
      <c r="D272" s="35">
        <f>SUM(D267:D271)</f>
        <v>-196601</v>
      </c>
      <c r="E272" s="13"/>
      <c r="F272" s="31">
        <f>IF(D$12=0,0,D272/D$12)</f>
        <v>-0.35998916229391614</v>
      </c>
      <c r="G272" s="13"/>
      <c r="H272" s="35">
        <f>SUM(H267:H271)</f>
        <v>-207054.94115324575</v>
      </c>
      <c r="I272" s="13"/>
      <c r="J272" s="31">
        <f>IF(H$12=0,0,H272/H$12)</f>
        <v>-0.1348289566703387</v>
      </c>
      <c r="K272" s="15"/>
      <c r="L272" s="35">
        <f>+D272-H272</f>
        <v>10453.941153245745</v>
      </c>
      <c r="M272" s="15"/>
      <c r="N272" s="31">
        <f>IF(H272=0,0,L272/H272)</f>
        <v>-5.0488730648106397E-2</v>
      </c>
      <c r="O272" s="26"/>
      <c r="P272" s="35">
        <f>SUM(P267:P271)</f>
        <v>-1197494.6499999969</v>
      </c>
      <c r="Q272" s="13"/>
      <c r="R272" s="31">
        <f>IF(P$12=0,0,P272/P$12)</f>
        <v>-0.16744931006024419</v>
      </c>
      <c r="S272" s="13"/>
      <c r="T272" s="35">
        <f>SUM(T267:T271)</f>
        <v>-3088939.6901746998</v>
      </c>
      <c r="U272" s="13"/>
      <c r="V272" s="31">
        <f>IF(T$12=0,0,T272/T$12)</f>
        <v>-0.24420418320483572</v>
      </c>
      <c r="W272" s="15"/>
      <c r="X272" s="35">
        <f>+P272-T272</f>
        <v>1891445.0401747029</v>
      </c>
      <c r="Y272" s="15"/>
      <c r="Z272" s="31">
        <f>IF(T272=0,0,X272/T272)</f>
        <v>-0.6123282517269637</v>
      </c>
    </row>
    <row r="273" spans="1:24" ht="15.75" thickTop="1" x14ac:dyDescent="0.25">
      <c r="A273" s="9"/>
      <c r="C273" s="9"/>
      <c r="D273" s="18"/>
      <c r="E273" s="18"/>
      <c r="G273" s="18"/>
      <c r="H273" s="18"/>
      <c r="I273" s="18"/>
      <c r="J273" s="42"/>
      <c r="K273" s="18"/>
      <c r="L273" s="18"/>
      <c r="M273" s="18"/>
      <c r="P273" s="18"/>
      <c r="Q273" s="18"/>
      <c r="R273" s="42"/>
      <c r="S273" s="18"/>
      <c r="T273" s="18"/>
      <c r="U273" s="18"/>
      <c r="V273" s="42"/>
      <c r="W273" s="18"/>
      <c r="X273" s="18"/>
    </row>
    <row r="274" spans="1:24" x14ac:dyDescent="0.25">
      <c r="A274" s="9"/>
      <c r="B274" s="53">
        <v>44267.671232835652</v>
      </c>
      <c r="D274" s="18"/>
      <c r="E274" s="18"/>
      <c r="G274" s="18"/>
      <c r="H274" s="18"/>
      <c r="I274" s="18"/>
      <c r="J274" s="42"/>
      <c r="K274" s="18"/>
      <c r="L274" s="18"/>
      <c r="M274" s="18"/>
      <c r="P274" s="18"/>
      <c r="Q274" s="18"/>
      <c r="R274" s="42"/>
      <c r="S274" s="18"/>
      <c r="T274" s="18"/>
      <c r="U274" s="18"/>
      <c r="V274" s="42"/>
      <c r="W274" s="18"/>
      <c r="X274" s="18"/>
    </row>
    <row r="275" spans="1:24" x14ac:dyDescent="0.25">
      <c r="A275" s="9"/>
      <c r="B275" s="62" t="s">
        <v>314</v>
      </c>
      <c r="D275" s="18"/>
      <c r="E275" s="18"/>
      <c r="G275" s="18"/>
      <c r="H275" s="18"/>
      <c r="I275" s="18"/>
      <c r="J275" s="42"/>
      <c r="K275" s="18"/>
      <c r="L275" s="18"/>
      <c r="M275" s="18"/>
      <c r="P275" s="18"/>
      <c r="Q275" s="18"/>
      <c r="R275" s="42"/>
      <c r="S275" s="18"/>
      <c r="T275" s="18"/>
      <c r="U275" s="18"/>
      <c r="V275" s="42"/>
      <c r="W275" s="18"/>
      <c r="X275" s="18"/>
    </row>
    <row r="276" spans="1:24" x14ac:dyDescent="0.25">
      <c r="A276" s="9"/>
      <c r="B276" s="57"/>
      <c r="D276" s="18"/>
      <c r="E276" s="18"/>
      <c r="G276" s="18"/>
      <c r="H276" s="18"/>
      <c r="I276" s="18"/>
      <c r="J276" s="42"/>
      <c r="K276" s="18"/>
      <c r="L276" s="18"/>
      <c r="M276" s="18"/>
      <c r="P276" s="18"/>
      <c r="Q276" s="18"/>
      <c r="R276" s="42"/>
      <c r="S276" s="18"/>
      <c r="T276" s="18"/>
      <c r="U276" s="18"/>
      <c r="V276" s="42"/>
      <c r="W276" s="18"/>
      <c r="X276" s="18"/>
    </row>
    <row r="277" spans="1:24" x14ac:dyDescent="0.25">
      <c r="D277" s="18"/>
      <c r="E277" s="18"/>
      <c r="G277" s="18"/>
      <c r="H277" s="18"/>
      <c r="I277" s="18"/>
      <c r="J277" s="42"/>
      <c r="K277" s="18"/>
      <c r="L277" s="18"/>
      <c r="M277" s="18"/>
      <c r="P277" s="18"/>
      <c r="Q277" s="18"/>
      <c r="R277" s="42"/>
      <c r="S277" s="18"/>
      <c r="T277" s="18"/>
      <c r="U277" s="18"/>
      <c r="V277" s="42"/>
      <c r="W277" s="18"/>
      <c r="X277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23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5"/>
      <c r="L22" s="19">
        <f>+D22-H22</f>
        <v>0</v>
      </c>
      <c r="M22" s="15"/>
      <c r="N22" s="21">
        <f>IF(H22=0,0,L22/H22)</f>
        <v>0</v>
      </c>
      <c r="O22" s="26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5"/>
      <c r="X22" s="19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--233369.99</f>
        <v>233369.99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218369.99</v>
      </c>
      <c r="M28" s="4"/>
      <c r="N28" s="12">
        <f t="shared" ref="N28:N29" si="4">IF(H28=0,0,L28/H28)</f>
        <v>14.557999333333333</v>
      </c>
      <c r="O28" s="10"/>
      <c r="P28" s="4">
        <f>--2191553.97</f>
        <v>2191553.9700000002</v>
      </c>
      <c r="Q28" s="4"/>
      <c r="R28" s="12">
        <f t="shared" ref="R28:R29" si="5">IF(P$12=0,0,P28/P$12)</f>
        <v>0</v>
      </c>
      <c r="S28" s="4"/>
      <c r="T28" s="4">
        <f t="shared" ref="T28:T29" si="6">--120000</f>
        <v>120000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2071553.9700000002</v>
      </c>
      <c r="Y28" s="4"/>
      <c r="Z28" s="12">
        <f t="shared" ref="Z28:Z29" si="9">IF(T28=0,0,X28/T28)</f>
        <v>17.262949750000001</v>
      </c>
    </row>
    <row r="29" spans="1:26" s="23" customFormat="1" x14ac:dyDescent="0.25">
      <c r="A29" s="52"/>
      <c r="B29" s="10" t="s">
        <v>1</v>
      </c>
      <c r="C29" s="10"/>
      <c r="D29" s="4">
        <f>--12479.26</f>
        <v>12479.26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-2520.7399999999998</v>
      </c>
      <c r="M29" s="4"/>
      <c r="N29" s="12">
        <f t="shared" si="4"/>
        <v>-0.16804933333333333</v>
      </c>
      <c r="O29" s="10"/>
      <c r="P29" s="4">
        <f>--67055.26</f>
        <v>67055.259999999995</v>
      </c>
      <c r="Q29" s="4"/>
      <c r="R29" s="12">
        <f t="shared" si="5"/>
        <v>0</v>
      </c>
      <c r="S29" s="4"/>
      <c r="T29" s="4">
        <f t="shared" si="6"/>
        <v>120000</v>
      </c>
      <c r="U29" s="4"/>
      <c r="V29" s="12">
        <f t="shared" si="7"/>
        <v>0</v>
      </c>
      <c r="W29" s="4"/>
      <c r="X29" s="4">
        <f t="shared" si="8"/>
        <v>-52944.740000000005</v>
      </c>
      <c r="Y29" s="4"/>
      <c r="Z29" s="12">
        <f t="shared" si="9"/>
        <v>-0.44120616666666673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5">
        <f>SUM(D26:D30)</f>
        <v>245849.25</v>
      </c>
      <c r="E31" s="13"/>
      <c r="F31" s="31">
        <f>IF(D$12=0,0,D31/D$12)</f>
        <v>0</v>
      </c>
      <c r="G31" s="13"/>
      <c r="H31" s="35">
        <f>SUM(H26:H30)</f>
        <v>30000</v>
      </c>
      <c r="I31" s="13"/>
      <c r="J31" s="31">
        <f>IF(H$12=0,0,H31/H$12)</f>
        <v>0</v>
      </c>
      <c r="K31" s="15"/>
      <c r="L31" s="35">
        <f>+D31-H31</f>
        <v>215849.25</v>
      </c>
      <c r="M31" s="15"/>
      <c r="N31" s="31">
        <f>IF(H31=0,0,L31/H31)</f>
        <v>7.1949750000000003</v>
      </c>
      <c r="O31" s="26"/>
      <c r="P31" s="35">
        <f>SUM(P26:P30)</f>
        <v>2258609.23</v>
      </c>
      <c r="Q31" s="13"/>
      <c r="R31" s="31">
        <f>IF(P$12=0,0,P31/P$12)</f>
        <v>0</v>
      </c>
      <c r="S31" s="13"/>
      <c r="T31" s="35">
        <f>SUM(T26:T30)</f>
        <v>240000</v>
      </c>
      <c r="U31" s="13"/>
      <c r="V31" s="31">
        <f>IF(T$12=0,0,T31/T$12)</f>
        <v>0</v>
      </c>
      <c r="W31" s="15"/>
      <c r="X31" s="35">
        <f>+P31-T31</f>
        <v>2018609.23</v>
      </c>
      <c r="Y31" s="15"/>
      <c r="Z31" s="31">
        <f>IF(T31=0,0,X31/T31)</f>
        <v>8.4108717916666667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3">
        <v>44267.671567627316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9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5"/>
      <c r="L17" s="19">
        <f>+D17-H17</f>
        <v>0</v>
      </c>
      <c r="M17" s="15"/>
      <c r="N17" s="21">
        <f>IF(H17=0,0,L17/H17)</f>
        <v>0</v>
      </c>
      <c r="O17" s="26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5"/>
      <c r="X17" s="19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217201.57</v>
      </c>
      <c r="E19" s="20"/>
      <c r="F19" s="33">
        <f t="shared" ref="F19:F31" si="4">IF(D$12=0,0,D19/D$12)</f>
        <v>0</v>
      </c>
      <c r="G19" s="20"/>
      <c r="H19" s="20">
        <f>SUM(OSRRefH22x_0)</f>
        <v>245422.33134153846</v>
      </c>
      <c r="I19" s="20"/>
      <c r="J19" s="33">
        <f t="shared" ref="J19:J31" si="5">IF(H$12=0,0,H19/H$12)</f>
        <v>0</v>
      </c>
      <c r="K19" s="4"/>
      <c r="L19" s="20">
        <f t="shared" ref="L19:L31" si="6">+D19-H19</f>
        <v>-28220.761341538455</v>
      </c>
      <c r="M19" s="4"/>
      <c r="N19" s="33">
        <f t="shared" ref="N19:N31" si="7">IF(H19=0,0,L19/H19)</f>
        <v>-0.1149885635397434</v>
      </c>
      <c r="O19" s="10"/>
      <c r="P19" s="20">
        <f>SUM(OSRRefP22x_0)</f>
        <v>1416230.2300000004</v>
      </c>
      <c r="Q19" s="20"/>
      <c r="R19" s="33">
        <f t="shared" ref="R19:R31" si="8">IF(P$12=0,0,P19/P$12)</f>
        <v>0</v>
      </c>
      <c r="S19" s="20"/>
      <c r="T19" s="20">
        <f>SUM(OSRRefT22x_0)</f>
        <v>2162821.7886453848</v>
      </c>
      <c r="U19" s="20"/>
      <c r="V19" s="33">
        <f t="shared" ref="V19:V31" si="9">IF(T$12=0,0,T19/T$12)</f>
        <v>0</v>
      </c>
      <c r="W19" s="4"/>
      <c r="X19" s="20">
        <f t="shared" ref="X19:X31" si="10">+P19-T19</f>
        <v>-746591.55864538439</v>
      </c>
      <c r="Y19" s="4"/>
      <c r="Z19" s="33">
        <f t="shared" ref="Z19:Z31" si="11">IF(T19=0,0,X19/T19)</f>
        <v>-0.34519328525582704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76673.930000000008</v>
      </c>
      <c r="E20" s="1"/>
      <c r="F20" s="5">
        <f t="shared" si="4"/>
        <v>0</v>
      </c>
      <c r="G20" s="1"/>
      <c r="H20" s="1">
        <f>SUM(OSRRefH22_0x_0)</f>
        <v>77432.11595692308</v>
      </c>
      <c r="I20" s="1"/>
      <c r="J20" s="5">
        <f t="shared" si="5"/>
        <v>0</v>
      </c>
      <c r="K20" s="1"/>
      <c r="L20" s="1">
        <f t="shared" si="6"/>
        <v>-758.18595692307281</v>
      </c>
      <c r="M20" s="1"/>
      <c r="N20" s="5">
        <f t="shared" si="7"/>
        <v>-9.7916213131107738E-3</v>
      </c>
      <c r="O20" s="14"/>
      <c r="P20" s="1">
        <f>SUM(OSRRefP22_0x_0)</f>
        <v>261991.30999999997</v>
      </c>
      <c r="Q20" s="1"/>
      <c r="R20" s="5">
        <f t="shared" si="8"/>
        <v>0</v>
      </c>
      <c r="S20" s="1"/>
      <c r="T20" s="1">
        <f>SUM(OSRRefT22_0x_0)</f>
        <v>640922.20403000002</v>
      </c>
      <c r="U20" s="1"/>
      <c r="V20" s="5">
        <f t="shared" si="9"/>
        <v>0</v>
      </c>
      <c r="W20" s="1"/>
      <c r="X20" s="1">
        <f t="shared" si="10"/>
        <v>-378930.89403000008</v>
      </c>
      <c r="Y20" s="1"/>
      <c r="Z20" s="5">
        <f t="shared" si="11"/>
        <v>-0.59122759618461163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7078.51</v>
      </c>
      <c r="E21" s="2"/>
      <c r="F21" s="6">
        <f t="shared" si="4"/>
        <v>0</v>
      </c>
      <c r="G21" s="2"/>
      <c r="H21" s="7">
        <v>6961.40427692308</v>
      </c>
      <c r="I21" s="2"/>
      <c r="J21" s="6">
        <f t="shared" si="5"/>
        <v>0</v>
      </c>
      <c r="K21" s="2"/>
      <c r="L21" s="7">
        <f t="shared" si="6"/>
        <v>117.10572307692019</v>
      </c>
      <c r="M21" s="2"/>
      <c r="N21" s="6">
        <f t="shared" si="7"/>
        <v>1.6822140823673087E-2</v>
      </c>
      <c r="O21" s="11"/>
      <c r="P21" s="7">
        <v>61914.32</v>
      </c>
      <c r="Q21" s="2"/>
      <c r="R21" s="6">
        <f t="shared" si="8"/>
        <v>0</v>
      </c>
      <c r="S21" s="2"/>
      <c r="T21" s="7">
        <v>61286.136473076942</v>
      </c>
      <c r="U21" s="2"/>
      <c r="V21" s="6">
        <f t="shared" si="9"/>
        <v>0</v>
      </c>
      <c r="W21" s="2"/>
      <c r="X21" s="7">
        <f t="shared" si="10"/>
        <v>628.1835269230578</v>
      </c>
      <c r="Y21" s="2"/>
      <c r="Z21" s="6">
        <f t="shared" si="11"/>
        <v>1.025001024822342E-2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585.79999999999995</v>
      </c>
      <c r="E22" s="2"/>
      <c r="F22" s="6">
        <f t="shared" si="4"/>
        <v>0</v>
      </c>
      <c r="G22" s="2"/>
      <c r="H22" s="7">
        <v>606.99631384615407</v>
      </c>
      <c r="I22" s="2"/>
      <c r="J22" s="6">
        <f t="shared" si="5"/>
        <v>0</v>
      </c>
      <c r="K22" s="2"/>
      <c r="L22" s="7">
        <f t="shared" si="6"/>
        <v>-21.196313846154112</v>
      </c>
      <c r="M22" s="2"/>
      <c r="N22" s="6">
        <f t="shared" si="7"/>
        <v>-3.4920004228438217E-2</v>
      </c>
      <c r="O22" s="11"/>
      <c r="P22" s="7">
        <v>5302.78</v>
      </c>
      <c r="Q22" s="2"/>
      <c r="R22" s="6">
        <f t="shared" si="8"/>
        <v>0</v>
      </c>
      <c r="S22" s="2"/>
      <c r="T22" s="7">
        <v>5324.3656061538459</v>
      </c>
      <c r="U22" s="2"/>
      <c r="V22" s="6">
        <f t="shared" si="9"/>
        <v>0</v>
      </c>
      <c r="W22" s="2"/>
      <c r="X22" s="7">
        <f t="shared" si="10"/>
        <v>-21.585606153846129</v>
      </c>
      <c r="Y22" s="2"/>
      <c r="Z22" s="6">
        <f t="shared" si="11"/>
        <v>-4.0541179457882666E-3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22431.15</v>
      </c>
      <c r="E23" s="2"/>
      <c r="F23" s="6">
        <f t="shared" si="4"/>
        <v>0</v>
      </c>
      <c r="G23" s="2"/>
      <c r="H23" s="7">
        <v>20373.557692307699</v>
      </c>
      <c r="I23" s="2"/>
      <c r="J23" s="6">
        <f t="shared" si="5"/>
        <v>0</v>
      </c>
      <c r="K23" s="2"/>
      <c r="L23" s="7">
        <f t="shared" si="6"/>
        <v>2057.5923076923027</v>
      </c>
      <c r="M23" s="2"/>
      <c r="N23" s="6">
        <f t="shared" si="7"/>
        <v>0.10099327465370338</v>
      </c>
      <c r="O23" s="11"/>
      <c r="P23" s="7">
        <v>182830.07999999999</v>
      </c>
      <c r="Q23" s="2"/>
      <c r="R23" s="6">
        <f t="shared" si="8"/>
        <v>0</v>
      </c>
      <c r="S23" s="2"/>
      <c r="T23" s="7">
        <v>169510.8653846154</v>
      </c>
      <c r="U23" s="2"/>
      <c r="V23" s="6">
        <f t="shared" si="9"/>
        <v>0</v>
      </c>
      <c r="W23" s="2"/>
      <c r="X23" s="7">
        <f t="shared" si="10"/>
        <v>13319.214615384582</v>
      </c>
      <c r="Y23" s="2"/>
      <c r="Z23" s="6">
        <f t="shared" si="11"/>
        <v>7.8574400438365166E-2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242.45</v>
      </c>
      <c r="E24" s="2"/>
      <c r="F24" s="6">
        <f t="shared" si="4"/>
        <v>0</v>
      </c>
      <c r="G24" s="2"/>
      <c r="H24" s="7">
        <v>262.75152000000003</v>
      </c>
      <c r="I24" s="2"/>
      <c r="J24" s="6">
        <f t="shared" si="5"/>
        <v>0</v>
      </c>
      <c r="K24" s="2"/>
      <c r="L24" s="7">
        <f t="shared" si="6"/>
        <v>-20.301520000000039</v>
      </c>
      <c r="M24" s="2"/>
      <c r="N24" s="6">
        <f t="shared" si="7"/>
        <v>-7.726509060727807E-2</v>
      </c>
      <c r="O24" s="11"/>
      <c r="P24" s="7">
        <v>2301.36</v>
      </c>
      <c r="Q24" s="2"/>
      <c r="R24" s="6">
        <f t="shared" si="8"/>
        <v>0</v>
      </c>
      <c r="S24" s="2"/>
      <c r="T24" s="7">
        <v>2302.8827200000001</v>
      </c>
      <c r="U24" s="2"/>
      <c r="V24" s="6">
        <f t="shared" si="9"/>
        <v>0</v>
      </c>
      <c r="W24" s="2"/>
      <c r="X24" s="7">
        <f t="shared" si="10"/>
        <v>-1.5227199999999357</v>
      </c>
      <c r="Y24" s="2"/>
      <c r="Z24" s="6">
        <f t="shared" si="11"/>
        <v>-6.6122342522068848E-4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7812.41</v>
      </c>
      <c r="E25" s="2"/>
      <c r="F25" s="6">
        <f t="shared" si="4"/>
        <v>0</v>
      </c>
      <c r="G25" s="2"/>
      <c r="H25" s="7">
        <v>5815.5846153846151</v>
      </c>
      <c r="I25" s="2"/>
      <c r="J25" s="6">
        <f t="shared" si="5"/>
        <v>0</v>
      </c>
      <c r="K25" s="2"/>
      <c r="L25" s="7">
        <f t="shared" si="6"/>
        <v>1996.8253846153848</v>
      </c>
      <c r="M25" s="2"/>
      <c r="N25" s="6">
        <f t="shared" si="7"/>
        <v>0.3433576358485026</v>
      </c>
      <c r="O25" s="11"/>
      <c r="P25" s="7">
        <v>74563.149999999994</v>
      </c>
      <c r="Q25" s="2"/>
      <c r="R25" s="6">
        <f t="shared" si="8"/>
        <v>0</v>
      </c>
      <c r="S25" s="2"/>
      <c r="T25" s="7">
        <v>50886.365384615412</v>
      </c>
      <c r="U25" s="2"/>
      <c r="V25" s="6">
        <f t="shared" si="9"/>
        <v>0</v>
      </c>
      <c r="W25" s="2"/>
      <c r="X25" s="7">
        <f t="shared" si="10"/>
        <v>23676.784615384582</v>
      </c>
      <c r="Y25" s="2"/>
      <c r="Z25" s="6">
        <f t="shared" si="11"/>
        <v>0.46528739941294445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2400</v>
      </c>
      <c r="U26" s="2"/>
      <c r="V26" s="6">
        <f t="shared" si="9"/>
        <v>0</v>
      </c>
      <c r="W26" s="2"/>
      <c r="X26" s="7">
        <f t="shared" si="10"/>
        <v>-2400</v>
      </c>
      <c r="Y26" s="2"/>
      <c r="Z26" s="6">
        <f t="shared" si="11"/>
        <v>-1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532.74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532.74</v>
      </c>
      <c r="M27" s="2"/>
      <c r="N27" s="6">
        <f t="shared" si="7"/>
        <v>0</v>
      </c>
      <c r="O27" s="11"/>
      <c r="P27" s="7">
        <v>5776.86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5776.86</v>
      </c>
      <c r="Y27" s="2"/>
      <c r="Z27" s="6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5447.23</v>
      </c>
      <c r="E28" s="2"/>
      <c r="F28" s="6">
        <f t="shared" si="4"/>
        <v>0</v>
      </c>
      <c r="G28" s="2"/>
      <c r="H28" s="7">
        <v>4702.1538461538448</v>
      </c>
      <c r="I28" s="2"/>
      <c r="J28" s="6">
        <f t="shared" si="5"/>
        <v>0</v>
      </c>
      <c r="K28" s="2"/>
      <c r="L28" s="7">
        <f t="shared" si="6"/>
        <v>745.07615384615474</v>
      </c>
      <c r="M28" s="2"/>
      <c r="N28" s="6">
        <f t="shared" si="7"/>
        <v>0.15845422719539351</v>
      </c>
      <c r="O28" s="11"/>
      <c r="P28" s="7">
        <v>50575.9</v>
      </c>
      <c r="Q28" s="2"/>
      <c r="R28" s="6">
        <f t="shared" si="8"/>
        <v>0</v>
      </c>
      <c r="S28" s="2"/>
      <c r="T28" s="7">
        <v>41185.096153846156</v>
      </c>
      <c r="U28" s="2"/>
      <c r="V28" s="6">
        <f t="shared" si="9"/>
        <v>0</v>
      </c>
      <c r="W28" s="2"/>
      <c r="X28" s="7">
        <f t="shared" si="10"/>
        <v>9390.8038461538454</v>
      </c>
      <c r="Y28" s="2"/>
      <c r="Z28" s="6">
        <f t="shared" si="11"/>
        <v>0.22801461507033208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4003.52</v>
      </c>
      <c r="E29" s="2"/>
      <c r="F29" s="6">
        <f t="shared" si="4"/>
        <v>0</v>
      </c>
      <c r="G29" s="2"/>
      <c r="H29" s="7">
        <v>3884.6676923076911</v>
      </c>
      <c r="I29" s="2"/>
      <c r="J29" s="6">
        <f t="shared" si="5"/>
        <v>0</v>
      </c>
      <c r="K29" s="2"/>
      <c r="L29" s="7">
        <f t="shared" si="6"/>
        <v>118.85230769230884</v>
      </c>
      <c r="M29" s="2"/>
      <c r="N29" s="6">
        <f t="shared" si="7"/>
        <v>3.0595231588961089E-2</v>
      </c>
      <c r="O29" s="11"/>
      <c r="P29" s="7">
        <v>34804.82</v>
      </c>
      <c r="Q29" s="2"/>
      <c r="R29" s="6">
        <f t="shared" si="8"/>
        <v>0</v>
      </c>
      <c r="S29" s="2"/>
      <c r="T29" s="7">
        <v>33956.492307692293</v>
      </c>
      <c r="U29" s="2"/>
      <c r="V29" s="6">
        <f t="shared" si="9"/>
        <v>0</v>
      </c>
      <c r="W29" s="2"/>
      <c r="X29" s="7">
        <f t="shared" si="10"/>
        <v>848.32769230770646</v>
      </c>
      <c r="Y29" s="2"/>
      <c r="Z29" s="6">
        <f t="shared" si="11"/>
        <v>2.498278339884746E-2</v>
      </c>
    </row>
    <row r="30" spans="1:26" s="24" customFormat="1" hidden="1" outlineLevel="2" x14ac:dyDescent="0.25">
      <c r="A30" s="27"/>
      <c r="B30" s="11" t="str">
        <f>CONCATENATE("          ", "6120", " - ", "RETIREES HEALTH INSURANCE")</f>
        <v xml:space="preserve">          6120 - RETIREES HEALTH INSURANCE</v>
      </c>
      <c r="C30" s="11"/>
      <c r="D30" s="7">
        <v>28124.68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-3875.3199999999997</v>
      </c>
      <c r="M30" s="2"/>
      <c r="N30" s="6">
        <f t="shared" si="7"/>
        <v>-0.12110375</v>
      </c>
      <c r="O30" s="11"/>
      <c r="P30" s="7">
        <v>-161067.91999999998</v>
      </c>
      <c r="Q30" s="2"/>
      <c r="R30" s="6">
        <f t="shared" si="8"/>
        <v>0</v>
      </c>
      <c r="S30" s="2"/>
      <c r="T30" s="7">
        <v>256000</v>
      </c>
      <c r="U30" s="2"/>
      <c r="V30" s="6">
        <f t="shared" si="9"/>
        <v>0</v>
      </c>
      <c r="W30" s="2"/>
      <c r="X30" s="7">
        <f t="shared" si="10"/>
        <v>-417067.92</v>
      </c>
      <c r="Y30" s="2"/>
      <c r="Z30" s="6">
        <f t="shared" si="11"/>
        <v>-1.6291715624999998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>
        <v>415.44</v>
      </c>
      <c r="E31" s="2"/>
      <c r="F31" s="6">
        <f t="shared" si="4"/>
        <v>0</v>
      </c>
      <c r="G31" s="2"/>
      <c r="H31" s="7">
        <v>2525</v>
      </c>
      <c r="I31" s="2"/>
      <c r="J31" s="6">
        <f t="shared" si="5"/>
        <v>0</v>
      </c>
      <c r="K31" s="2"/>
      <c r="L31" s="7">
        <f t="shared" si="6"/>
        <v>-2109.56</v>
      </c>
      <c r="M31" s="2"/>
      <c r="N31" s="6">
        <f t="shared" si="7"/>
        <v>-0.8354693069306931</v>
      </c>
      <c r="O31" s="11"/>
      <c r="P31" s="7">
        <v>4989.96</v>
      </c>
      <c r="Q31" s="2"/>
      <c r="R31" s="6">
        <f t="shared" si="8"/>
        <v>0</v>
      </c>
      <c r="S31" s="2"/>
      <c r="T31" s="7">
        <v>18070</v>
      </c>
      <c r="U31" s="2"/>
      <c r="V31" s="6">
        <f t="shared" si="9"/>
        <v>0</v>
      </c>
      <c r="W31" s="2"/>
      <c r="X31" s="7">
        <f t="shared" si="10"/>
        <v>-13080.04</v>
      </c>
      <c r="Y31" s="2"/>
      <c r="Z31" s="6">
        <f t="shared" si="11"/>
        <v>-0.72385390149418927</v>
      </c>
    </row>
    <row r="32" spans="1:26" s="28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87699.199999999997</v>
      </c>
      <c r="E32" s="1"/>
      <c r="F32" s="5">
        <f t="shared" ref="F32:F42" si="12">IF(D$12=0,0,D32/D$12)</f>
        <v>0</v>
      </c>
      <c r="G32" s="1"/>
      <c r="H32" s="1">
        <f>SUM(OSRRefH22_1x_0)</f>
        <v>92960.215384615367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-5261.0153846153698</v>
      </c>
      <c r="M32" s="1"/>
      <c r="N32" s="5">
        <f t="shared" ref="N32:N42" si="15">IF(H32=0,0,L32/H32)</f>
        <v>-5.6594268449662519E-2</v>
      </c>
      <c r="O32" s="14"/>
      <c r="P32" s="1">
        <f>SUM(OSRRefP22_1x_0)</f>
        <v>745170.87</v>
      </c>
      <c r="Q32" s="1"/>
      <c r="R32" s="5">
        <f t="shared" ref="R32:R42" si="16">IF(P$12=0,0,P32/P$12)</f>
        <v>0</v>
      </c>
      <c r="S32" s="1"/>
      <c r="T32" s="1">
        <f>SUM(OSRRefT22_1x_0)</f>
        <v>814783.58461538469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-69612.714615384699</v>
      </c>
      <c r="Y32" s="1"/>
      <c r="Z32" s="5">
        <f t="shared" ref="Z32:Z42" si="19">IF(T32=0,0,X32/T32)</f>
        <v>-8.5437060748155727E-2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7">
        <v>23195.489999999998</v>
      </c>
      <c r="E33" s="2"/>
      <c r="F33" s="6">
        <f t="shared" si="12"/>
        <v>0</v>
      </c>
      <c r="G33" s="2"/>
      <c r="H33" s="7">
        <v>27288.461538461499</v>
      </c>
      <c r="I33" s="2"/>
      <c r="J33" s="6">
        <f t="shared" si="13"/>
        <v>0</v>
      </c>
      <c r="K33" s="2"/>
      <c r="L33" s="7">
        <f t="shared" si="14"/>
        <v>-4092.971538461501</v>
      </c>
      <c r="M33" s="2"/>
      <c r="N33" s="6">
        <f t="shared" si="15"/>
        <v>-0.14998909090908977</v>
      </c>
      <c r="O33" s="11"/>
      <c r="P33" s="7">
        <v>201251</v>
      </c>
      <c r="Q33" s="2"/>
      <c r="R33" s="6">
        <f t="shared" si="16"/>
        <v>0</v>
      </c>
      <c r="S33" s="2"/>
      <c r="T33" s="7">
        <v>238774.03846153832</v>
      </c>
      <c r="U33" s="2"/>
      <c r="V33" s="6">
        <f t="shared" si="17"/>
        <v>0</v>
      </c>
      <c r="W33" s="2"/>
      <c r="X33" s="7">
        <f t="shared" si="18"/>
        <v>-37523.038461538323</v>
      </c>
      <c r="Y33" s="2"/>
      <c r="Z33" s="6">
        <f t="shared" si="19"/>
        <v>-0.15714873653478256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7">
        <v>45685.91</v>
      </c>
      <c r="E34" s="2"/>
      <c r="F34" s="6">
        <f t="shared" si="12"/>
        <v>0</v>
      </c>
      <c r="G34" s="2"/>
      <c r="H34" s="7">
        <v>34146.153846153873</v>
      </c>
      <c r="I34" s="2"/>
      <c r="J34" s="6">
        <f t="shared" si="13"/>
        <v>0</v>
      </c>
      <c r="K34" s="2"/>
      <c r="L34" s="7">
        <f t="shared" si="14"/>
        <v>11539.75615384613</v>
      </c>
      <c r="M34" s="2"/>
      <c r="N34" s="6">
        <f t="shared" si="15"/>
        <v>0.33795185852669424</v>
      </c>
      <c r="O34" s="11"/>
      <c r="P34" s="7">
        <v>390232.86</v>
      </c>
      <c r="Q34" s="2"/>
      <c r="R34" s="6">
        <f t="shared" si="16"/>
        <v>0</v>
      </c>
      <c r="S34" s="2"/>
      <c r="T34" s="7">
        <v>298778.84615384648</v>
      </c>
      <c r="U34" s="2"/>
      <c r="V34" s="6">
        <f t="shared" si="17"/>
        <v>0</v>
      </c>
      <c r="W34" s="2"/>
      <c r="X34" s="7">
        <f t="shared" si="18"/>
        <v>91454.01384615351</v>
      </c>
      <c r="Y34" s="2"/>
      <c r="Z34" s="6">
        <f t="shared" si="19"/>
        <v>0.3060926669455783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>
        <v>15530.74</v>
      </c>
      <c r="E36" s="2"/>
      <c r="F36" s="6">
        <f t="shared" si="12"/>
        <v>0</v>
      </c>
      <c r="G36" s="2"/>
      <c r="H36" s="7">
        <v>20346.400000000001</v>
      </c>
      <c r="I36" s="2"/>
      <c r="J36" s="6">
        <f t="shared" si="13"/>
        <v>0</v>
      </c>
      <c r="K36" s="2"/>
      <c r="L36" s="7">
        <f t="shared" si="14"/>
        <v>-4815.6600000000017</v>
      </c>
      <c r="M36" s="2"/>
      <c r="N36" s="6">
        <f t="shared" si="15"/>
        <v>-0.23668363936617787</v>
      </c>
      <c r="O36" s="11"/>
      <c r="P36" s="7">
        <v>140070.29999999999</v>
      </c>
      <c r="Q36" s="2"/>
      <c r="R36" s="6">
        <f t="shared" si="16"/>
        <v>0</v>
      </c>
      <c r="S36" s="2"/>
      <c r="T36" s="7">
        <v>183773.5</v>
      </c>
      <c r="U36" s="2"/>
      <c r="V36" s="6">
        <f t="shared" si="17"/>
        <v>0</v>
      </c>
      <c r="W36" s="2"/>
      <c r="X36" s="7">
        <f t="shared" si="18"/>
        <v>-43703.200000000012</v>
      </c>
      <c r="Y36" s="2"/>
      <c r="Z36" s="6">
        <f t="shared" si="19"/>
        <v>-0.23781013040509111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4163.13</v>
      </c>
      <c r="E37" s="2"/>
      <c r="F37" s="6">
        <f t="shared" si="12"/>
        <v>0</v>
      </c>
      <c r="G37" s="2"/>
      <c r="H37" s="7">
        <v>7772</v>
      </c>
      <c r="I37" s="2"/>
      <c r="J37" s="6">
        <f t="shared" si="13"/>
        <v>0</v>
      </c>
      <c r="K37" s="2"/>
      <c r="L37" s="7">
        <f t="shared" si="14"/>
        <v>-3608.87</v>
      </c>
      <c r="M37" s="2"/>
      <c r="N37" s="6">
        <f t="shared" si="15"/>
        <v>-0.46434251158003087</v>
      </c>
      <c r="O37" s="11"/>
      <c r="P37" s="7">
        <v>44236.409999999996</v>
      </c>
      <c r="Q37" s="2"/>
      <c r="R37" s="6">
        <f t="shared" si="16"/>
        <v>0</v>
      </c>
      <c r="S37" s="2"/>
      <c r="T37" s="7">
        <v>68005</v>
      </c>
      <c r="U37" s="2"/>
      <c r="V37" s="6">
        <f t="shared" si="17"/>
        <v>0</v>
      </c>
      <c r="W37" s="2"/>
      <c r="X37" s="7">
        <f t="shared" si="18"/>
        <v>-23768.590000000004</v>
      </c>
      <c r="Y37" s="2"/>
      <c r="Z37" s="6">
        <f t="shared" si="19"/>
        <v>-0.34951238879494162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>
        <v>-2032</v>
      </c>
      <c r="E39" s="2"/>
      <c r="F39" s="6">
        <f t="shared" si="12"/>
        <v>0</v>
      </c>
      <c r="G39" s="2"/>
      <c r="H39" s="7">
        <v>1120</v>
      </c>
      <c r="I39" s="2"/>
      <c r="J39" s="6">
        <f t="shared" si="13"/>
        <v>0</v>
      </c>
      <c r="K39" s="2"/>
      <c r="L39" s="7">
        <f t="shared" si="14"/>
        <v>-3152</v>
      </c>
      <c r="M39" s="2"/>
      <c r="N39" s="6">
        <f t="shared" si="15"/>
        <v>-2.8142857142857145</v>
      </c>
      <c r="O39" s="11"/>
      <c r="P39" s="7">
        <v>-41371.009999999995</v>
      </c>
      <c r="Q39" s="2"/>
      <c r="R39" s="6">
        <f t="shared" si="16"/>
        <v>0</v>
      </c>
      <c r="S39" s="2"/>
      <c r="T39" s="7">
        <v>8779</v>
      </c>
      <c r="U39" s="2"/>
      <c r="V39" s="6">
        <f t="shared" si="17"/>
        <v>0</v>
      </c>
      <c r="W39" s="2"/>
      <c r="X39" s="7">
        <f t="shared" si="18"/>
        <v>-50150.009999999995</v>
      </c>
      <c r="Y39" s="2"/>
      <c r="Z39" s="6">
        <f t="shared" si="19"/>
        <v>-5.7124968675247745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>
        <v>1155.93</v>
      </c>
      <c r="E40" s="2"/>
      <c r="F40" s="6">
        <f t="shared" si="12"/>
        <v>0</v>
      </c>
      <c r="G40" s="2"/>
      <c r="H40" s="7">
        <v>2287.1999999999998</v>
      </c>
      <c r="I40" s="2"/>
      <c r="J40" s="6">
        <f t="shared" si="13"/>
        <v>0</v>
      </c>
      <c r="K40" s="2"/>
      <c r="L40" s="7">
        <f t="shared" si="14"/>
        <v>-1131.2699999999998</v>
      </c>
      <c r="M40" s="2"/>
      <c r="N40" s="6">
        <f t="shared" si="15"/>
        <v>-0.49460912906610699</v>
      </c>
      <c r="O40" s="11"/>
      <c r="P40" s="7">
        <v>10751.31</v>
      </c>
      <c r="Q40" s="2"/>
      <c r="R40" s="6">
        <f t="shared" si="16"/>
        <v>0</v>
      </c>
      <c r="S40" s="2"/>
      <c r="T40" s="7">
        <v>16673.2</v>
      </c>
      <c r="U40" s="2"/>
      <c r="V40" s="6">
        <f t="shared" si="17"/>
        <v>0</v>
      </c>
      <c r="W40" s="2"/>
      <c r="X40" s="7">
        <f t="shared" si="18"/>
        <v>-5921.8900000000012</v>
      </c>
      <c r="Y40" s="2"/>
      <c r="Z40" s="6">
        <f t="shared" si="19"/>
        <v>-0.35517417172468396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8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346.42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-8736.58</v>
      </c>
      <c r="M43" s="1"/>
      <c r="N43" s="5">
        <f t="shared" ref="N43:N51" si="23">IF(H43=0,0,L43/H43)</f>
        <v>-0.96186061873830231</v>
      </c>
      <c r="O43" s="14"/>
      <c r="P43" s="1">
        <f>SUM(OSRRefP22_2x_0)</f>
        <v>1452.48</v>
      </c>
      <c r="Q43" s="1"/>
      <c r="R43" s="5">
        <f t="shared" ref="R43:R51" si="24">IF(P$12=0,0,P43/P$12)</f>
        <v>0</v>
      </c>
      <c r="S43" s="1"/>
      <c r="T43" s="1">
        <f>SUM(OSRRefT22_2x_0)</f>
        <v>72764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-71311.520000000004</v>
      </c>
      <c r="Y43" s="1"/>
      <c r="Z43" s="5">
        <f t="shared" ref="Z43:Z51" si="27">IF(T43=0,0,X43/T43)</f>
        <v>-0.98003848056731357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7">
        <v>346.42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-8736.58</v>
      </c>
      <c r="M44" s="2"/>
      <c r="N44" s="6">
        <f t="shared" si="23"/>
        <v>-0.96186061873830231</v>
      </c>
      <c r="O44" s="11"/>
      <c r="P44" s="7">
        <v>1452.48</v>
      </c>
      <c r="Q44" s="2"/>
      <c r="R44" s="6">
        <f t="shared" si="24"/>
        <v>0</v>
      </c>
      <c r="S44" s="2"/>
      <c r="T44" s="7">
        <v>72764</v>
      </c>
      <c r="U44" s="2"/>
      <c r="V44" s="6">
        <f t="shared" si="25"/>
        <v>0</v>
      </c>
      <c r="W44" s="2"/>
      <c r="X44" s="7">
        <f t="shared" si="26"/>
        <v>-71311.520000000004</v>
      </c>
      <c r="Y44" s="2"/>
      <c r="Z44" s="6">
        <f t="shared" si="27"/>
        <v>-0.98003848056731357</v>
      </c>
    </row>
    <row r="45" spans="1:26" s="28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135.87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-864.13</v>
      </c>
      <c r="M45" s="1"/>
      <c r="N45" s="5">
        <f t="shared" si="23"/>
        <v>-0.86412999999999995</v>
      </c>
      <c r="O45" s="14"/>
      <c r="P45" s="1">
        <f>SUM(OSRRefP22_3x_0)</f>
        <v>5118.54</v>
      </c>
      <c r="Q45" s="1"/>
      <c r="R45" s="5">
        <f t="shared" si="24"/>
        <v>0</v>
      </c>
      <c r="S45" s="1"/>
      <c r="T45" s="1">
        <f>SUM(OSRRefT22_3x_0)</f>
        <v>52000</v>
      </c>
      <c r="U45" s="1"/>
      <c r="V45" s="5">
        <f t="shared" si="25"/>
        <v>0</v>
      </c>
      <c r="W45" s="1"/>
      <c r="X45" s="1">
        <f t="shared" si="26"/>
        <v>-46881.46</v>
      </c>
      <c r="Y45" s="1"/>
      <c r="Z45" s="5">
        <f t="shared" si="27"/>
        <v>-0.90156653846153845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135.87</v>
      </c>
      <c r="E46" s="2"/>
      <c r="F46" s="6">
        <f t="shared" si="20"/>
        <v>0</v>
      </c>
      <c r="G46" s="2"/>
      <c r="H46" s="7">
        <v>1000</v>
      </c>
      <c r="I46" s="2"/>
      <c r="J46" s="6">
        <f t="shared" si="21"/>
        <v>0</v>
      </c>
      <c r="K46" s="2"/>
      <c r="L46" s="7">
        <f t="shared" si="22"/>
        <v>-864.13</v>
      </c>
      <c r="M46" s="2"/>
      <c r="N46" s="6">
        <f t="shared" si="23"/>
        <v>-0.86412999999999995</v>
      </c>
      <c r="O46" s="11"/>
      <c r="P46" s="7">
        <v>5118.54</v>
      </c>
      <c r="Q46" s="2"/>
      <c r="R46" s="6">
        <f t="shared" si="24"/>
        <v>0</v>
      </c>
      <c r="S46" s="2"/>
      <c r="T46" s="7">
        <v>52000</v>
      </c>
      <c r="U46" s="2"/>
      <c r="V46" s="6">
        <f t="shared" si="25"/>
        <v>0</v>
      </c>
      <c r="W46" s="2"/>
      <c r="X46" s="7">
        <f t="shared" si="26"/>
        <v>-46881.46</v>
      </c>
      <c r="Y46" s="2"/>
      <c r="Z46" s="6">
        <f t="shared" si="27"/>
        <v>-0.90156653846153845</v>
      </c>
    </row>
    <row r="47" spans="1:26" s="28" customFormat="1" outlineLevel="1" collapsed="1" x14ac:dyDescent="0.25">
      <c r="A47" s="29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546.76</v>
      </c>
      <c r="E47" s="1"/>
      <c r="F47" s="5">
        <f t="shared" si="20"/>
        <v>0</v>
      </c>
      <c r="G47" s="1"/>
      <c r="H47" s="1">
        <f>SUM(OSRRefH22_4x_0)</f>
        <v>2437</v>
      </c>
      <c r="I47" s="1"/>
      <c r="J47" s="5">
        <f t="shared" si="21"/>
        <v>0</v>
      </c>
      <c r="K47" s="1"/>
      <c r="L47" s="1">
        <f t="shared" si="22"/>
        <v>-1890.24</v>
      </c>
      <c r="M47" s="1"/>
      <c r="N47" s="5">
        <f t="shared" si="23"/>
        <v>-0.77564218301189991</v>
      </c>
      <c r="O47" s="14"/>
      <c r="P47" s="1">
        <f>SUM(OSRRefP22_4x_0)</f>
        <v>10146.75</v>
      </c>
      <c r="Q47" s="1"/>
      <c r="R47" s="5">
        <f t="shared" si="24"/>
        <v>0</v>
      </c>
      <c r="S47" s="1"/>
      <c r="T47" s="1">
        <f>SUM(OSRRefT22_4x_0)</f>
        <v>21396</v>
      </c>
      <c r="U47" s="1"/>
      <c r="V47" s="5">
        <f t="shared" si="25"/>
        <v>0</v>
      </c>
      <c r="W47" s="1"/>
      <c r="X47" s="1">
        <f t="shared" si="26"/>
        <v>-11249.25</v>
      </c>
      <c r="Y47" s="1"/>
      <c r="Z47" s="5">
        <f t="shared" si="27"/>
        <v>-0.52576416152551875</v>
      </c>
    </row>
    <row r="48" spans="1:26" s="24" customFormat="1" hidden="1" outlineLevel="2" x14ac:dyDescent="0.25">
      <c r="A48" s="27"/>
      <c r="B48" s="11" t="str">
        <f>CONCATENATE("          ", "6397", " - ", "BOARD EXPENSES")</f>
        <v xml:space="preserve">          6397 - BOARD EXPENSES</v>
      </c>
      <c r="C48" s="11"/>
      <c r="D48" s="7">
        <v>546.76</v>
      </c>
      <c r="E48" s="2"/>
      <c r="F48" s="6">
        <f t="shared" si="20"/>
        <v>0</v>
      </c>
      <c r="G48" s="2"/>
      <c r="H48" s="7">
        <v>2437</v>
      </c>
      <c r="I48" s="2"/>
      <c r="J48" s="6">
        <f t="shared" si="21"/>
        <v>0</v>
      </c>
      <c r="K48" s="2"/>
      <c r="L48" s="7">
        <f t="shared" si="22"/>
        <v>-1890.24</v>
      </c>
      <c r="M48" s="2"/>
      <c r="N48" s="6">
        <f t="shared" si="23"/>
        <v>-0.77564218301189991</v>
      </c>
      <c r="O48" s="11"/>
      <c r="P48" s="7">
        <v>10146.75</v>
      </c>
      <c r="Q48" s="2"/>
      <c r="R48" s="6">
        <f t="shared" si="24"/>
        <v>0</v>
      </c>
      <c r="S48" s="2"/>
      <c r="T48" s="7">
        <v>21396</v>
      </c>
      <c r="U48" s="2"/>
      <c r="V48" s="6">
        <f t="shared" si="25"/>
        <v>0</v>
      </c>
      <c r="W48" s="2"/>
      <c r="X48" s="7">
        <f t="shared" si="26"/>
        <v>-11249.25</v>
      </c>
      <c r="Y48" s="2"/>
      <c r="Z48" s="6">
        <f t="shared" si="27"/>
        <v>-0.52576416152551875</v>
      </c>
    </row>
    <row r="49" spans="1:26" s="28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6867.83</v>
      </c>
      <c r="E49" s="1"/>
      <c r="F49" s="5">
        <f t="shared" si="20"/>
        <v>0</v>
      </c>
      <c r="G49" s="1"/>
      <c r="H49" s="1">
        <f>SUM(OSRRefH22_5x_0)</f>
        <v>6868</v>
      </c>
      <c r="I49" s="1"/>
      <c r="J49" s="5">
        <f t="shared" si="21"/>
        <v>0</v>
      </c>
      <c r="K49" s="1"/>
      <c r="L49" s="1">
        <f t="shared" si="22"/>
        <v>-0.17000000000007276</v>
      </c>
      <c r="M49" s="1"/>
      <c r="N49" s="5">
        <f t="shared" si="23"/>
        <v>-2.4752475247535345E-5</v>
      </c>
      <c r="O49" s="14"/>
      <c r="P49" s="1">
        <f>SUM(OSRRefP22_5x_0)</f>
        <v>58411.7</v>
      </c>
      <c r="Q49" s="1"/>
      <c r="R49" s="5">
        <f t="shared" si="24"/>
        <v>0</v>
      </c>
      <c r="S49" s="1"/>
      <c r="T49" s="1">
        <f>SUM(OSRRefT22_5x_0)</f>
        <v>53149</v>
      </c>
      <c r="U49" s="1"/>
      <c r="V49" s="5">
        <f t="shared" si="25"/>
        <v>0</v>
      </c>
      <c r="W49" s="1"/>
      <c r="X49" s="1">
        <f t="shared" si="26"/>
        <v>5262.6999999999971</v>
      </c>
      <c r="Y49" s="1"/>
      <c r="Z49" s="5">
        <f t="shared" si="27"/>
        <v>9.9017855462943741E-2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6867.83</v>
      </c>
      <c r="E50" s="2"/>
      <c r="F50" s="6">
        <f t="shared" si="20"/>
        <v>0</v>
      </c>
      <c r="G50" s="2"/>
      <c r="H50" s="7">
        <v>6868</v>
      </c>
      <c r="I50" s="2"/>
      <c r="J50" s="6">
        <f t="shared" si="21"/>
        <v>0</v>
      </c>
      <c r="K50" s="2"/>
      <c r="L50" s="7">
        <f t="shared" si="22"/>
        <v>-0.17000000000007276</v>
      </c>
      <c r="M50" s="2"/>
      <c r="N50" s="6">
        <f t="shared" si="23"/>
        <v>-2.4752475247535345E-5</v>
      </c>
      <c r="O50" s="11"/>
      <c r="P50" s="7">
        <v>58411.7</v>
      </c>
      <c r="Q50" s="2"/>
      <c r="R50" s="6">
        <f t="shared" si="24"/>
        <v>0</v>
      </c>
      <c r="S50" s="2"/>
      <c r="T50" s="7">
        <v>53049</v>
      </c>
      <c r="U50" s="2"/>
      <c r="V50" s="6">
        <f t="shared" si="25"/>
        <v>0</v>
      </c>
      <c r="W50" s="2"/>
      <c r="X50" s="7">
        <f t="shared" si="26"/>
        <v>5362.6999999999971</v>
      </c>
      <c r="Y50" s="2"/>
      <c r="Z50" s="6">
        <f t="shared" si="27"/>
        <v>0.10108955870987195</v>
      </c>
    </row>
    <row r="51" spans="1:26" s="24" customFormat="1" hidden="1" outlineLevel="2" x14ac:dyDescent="0.25">
      <c r="A51" s="27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8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2500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-2500</v>
      </c>
      <c r="M52" s="1"/>
      <c r="N52" s="5">
        <f t="shared" ref="N52:N54" si="31">IF(H52=0,0,L52/H52)</f>
        <v>-1</v>
      </c>
      <c r="O52" s="14"/>
      <c r="P52" s="1">
        <f>SUM(OSRRefP22_6x_0)</f>
        <v>25000</v>
      </c>
      <c r="Q52" s="1"/>
      <c r="R52" s="5">
        <f t="shared" ref="R52:R54" si="32">IF(P$12=0,0,P52/P$12)</f>
        <v>0</v>
      </c>
      <c r="S52" s="1"/>
      <c r="T52" s="1">
        <f>SUM(OSRRefT22_6x_0)</f>
        <v>42750</v>
      </c>
      <c r="U52" s="1"/>
      <c r="V52" s="5">
        <f t="shared" ref="V52:V54" si="33">IF(T$12=0,0,T52/T$12)</f>
        <v>0</v>
      </c>
      <c r="W52" s="1"/>
      <c r="X52" s="1">
        <f t="shared" ref="X52:X54" si="34">+P52-T52</f>
        <v>-17750</v>
      </c>
      <c r="Y52" s="1"/>
      <c r="Z52" s="5">
        <f t="shared" ref="Z52:Z54" si="35">IF(T52=0,0,X52/T52)</f>
        <v>-0.41520467836257308</v>
      </c>
    </row>
    <row r="53" spans="1:26" s="24" customFormat="1" hidden="1" outlineLevel="2" x14ac:dyDescent="0.25">
      <c r="A53" s="27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>
        <v>1500</v>
      </c>
      <c r="I53" s="2"/>
      <c r="J53" s="6">
        <f t="shared" si="29"/>
        <v>0</v>
      </c>
      <c r="K53" s="2"/>
      <c r="L53" s="7">
        <f t="shared" si="30"/>
        <v>-1500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1500</v>
      </c>
      <c r="U53" s="2"/>
      <c r="V53" s="6">
        <f t="shared" si="33"/>
        <v>0</v>
      </c>
      <c r="W53" s="2"/>
      <c r="X53" s="7">
        <f t="shared" si="34"/>
        <v>-1500</v>
      </c>
      <c r="Y53" s="2"/>
      <c r="Z53" s="6">
        <f t="shared" si="35"/>
        <v>-1</v>
      </c>
    </row>
    <row r="54" spans="1:26" s="24" customFormat="1" hidden="1" outlineLevel="2" x14ac:dyDescent="0.25">
      <c r="A54" s="27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28"/>
        <v>0</v>
      </c>
      <c r="G54" s="2"/>
      <c r="H54" s="7">
        <v>1000</v>
      </c>
      <c r="I54" s="2"/>
      <c r="J54" s="6">
        <f t="shared" si="29"/>
        <v>0</v>
      </c>
      <c r="K54" s="2"/>
      <c r="L54" s="7">
        <f t="shared" si="30"/>
        <v>-1000</v>
      </c>
      <c r="M54" s="2"/>
      <c r="N54" s="6">
        <f t="shared" si="31"/>
        <v>-1</v>
      </c>
      <c r="O54" s="11"/>
      <c r="P54" s="7">
        <v>25000</v>
      </c>
      <c r="Q54" s="2"/>
      <c r="R54" s="6">
        <f t="shared" si="32"/>
        <v>0</v>
      </c>
      <c r="S54" s="2"/>
      <c r="T54" s="7">
        <v>41250</v>
      </c>
      <c r="U54" s="2"/>
      <c r="V54" s="6">
        <f t="shared" si="33"/>
        <v>0</v>
      </c>
      <c r="W54" s="2"/>
      <c r="X54" s="7">
        <f t="shared" si="34"/>
        <v>-16250</v>
      </c>
      <c r="Y54" s="2"/>
      <c r="Z54" s="6">
        <f t="shared" si="35"/>
        <v>-0.39393939393939392</v>
      </c>
    </row>
    <row r="55" spans="1:26" s="28" customFormat="1" outlineLevel="1" collapsed="1" x14ac:dyDescent="0.25">
      <c r="A55" s="29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0</v>
      </c>
      <c r="E55" s="1"/>
      <c r="F55" s="5">
        <f t="shared" ref="F55:F61" si="36">IF(D$12=0,0,D55/D$12)</f>
        <v>0</v>
      </c>
      <c r="G55" s="1"/>
      <c r="H55" s="1">
        <f>SUM(OSRRefH22_7x_0)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0</v>
      </c>
      <c r="M55" s="1"/>
      <c r="N55" s="5">
        <f t="shared" ref="N55:N61" si="39">IF(H55=0,0,L55/H55)</f>
        <v>0</v>
      </c>
      <c r="O55" s="14"/>
      <c r="P55" s="1">
        <f>SUM(OSRRefP22_7x_0)</f>
        <v>81.56</v>
      </c>
      <c r="Q55" s="1"/>
      <c r="R55" s="5">
        <f t="shared" ref="R55:R61" si="40">IF(P$12=0,0,P55/P$12)</f>
        <v>0</v>
      </c>
      <c r="S55" s="1"/>
      <c r="T55" s="1">
        <f>SUM(OSRRefT22_7x_0)</f>
        <v>4200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-4118.4399999999996</v>
      </c>
      <c r="Y55" s="1"/>
      <c r="Z55" s="5">
        <f t="shared" ref="Z55:Z61" si="43">IF(T55=0,0,X55/T55)</f>
        <v>-0.98058095238095233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81.56</v>
      </c>
      <c r="Q56" s="2"/>
      <c r="R56" s="6">
        <f t="shared" si="40"/>
        <v>0</v>
      </c>
      <c r="S56" s="2"/>
      <c r="T56" s="7">
        <v>4200</v>
      </c>
      <c r="U56" s="2"/>
      <c r="V56" s="6">
        <f t="shared" si="41"/>
        <v>0</v>
      </c>
      <c r="W56" s="2"/>
      <c r="X56" s="7">
        <f t="shared" si="42"/>
        <v>-4118.4399999999996</v>
      </c>
      <c r="Y56" s="2"/>
      <c r="Z56" s="6">
        <f t="shared" si="43"/>
        <v>-0.98058095238095233</v>
      </c>
    </row>
    <row r="57" spans="1:26" s="28" customFormat="1" outlineLevel="1" collapsed="1" x14ac:dyDescent="0.25">
      <c r="A57" s="29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208.97</v>
      </c>
      <c r="E57" s="1"/>
      <c r="F57" s="5">
        <f t="shared" si="36"/>
        <v>0</v>
      </c>
      <c r="G57" s="1"/>
      <c r="H57" s="1">
        <f>SUM(OSRRefH22_8x_0)</f>
        <v>291</v>
      </c>
      <c r="I57" s="1"/>
      <c r="J57" s="5">
        <f t="shared" si="37"/>
        <v>0</v>
      </c>
      <c r="K57" s="1"/>
      <c r="L57" s="1">
        <f t="shared" si="38"/>
        <v>-82.03</v>
      </c>
      <c r="M57" s="1"/>
      <c r="N57" s="5">
        <f t="shared" si="39"/>
        <v>-0.28189003436426119</v>
      </c>
      <c r="O57" s="14"/>
      <c r="P57" s="1">
        <f>SUM(OSRRefP22_8x_0)</f>
        <v>1671.76</v>
      </c>
      <c r="Q57" s="1"/>
      <c r="R57" s="5">
        <f t="shared" si="40"/>
        <v>0</v>
      </c>
      <c r="S57" s="1"/>
      <c r="T57" s="1">
        <f>SUM(OSRRefT22_8x_0)</f>
        <v>2246</v>
      </c>
      <c r="U57" s="1"/>
      <c r="V57" s="5">
        <f t="shared" si="41"/>
        <v>0</v>
      </c>
      <c r="W57" s="1"/>
      <c r="X57" s="1">
        <f t="shared" si="42"/>
        <v>-574.24</v>
      </c>
      <c r="Y57" s="1"/>
      <c r="Z57" s="5">
        <f t="shared" si="43"/>
        <v>-0.25567230632235083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7">
        <v>208.97</v>
      </c>
      <c r="E58" s="2"/>
      <c r="F58" s="6">
        <f t="shared" si="36"/>
        <v>0</v>
      </c>
      <c r="G58" s="2"/>
      <c r="H58" s="7">
        <v>291</v>
      </c>
      <c r="I58" s="2"/>
      <c r="J58" s="6">
        <f t="shared" si="37"/>
        <v>0</v>
      </c>
      <c r="K58" s="2"/>
      <c r="L58" s="7">
        <f t="shared" si="38"/>
        <v>-82.03</v>
      </c>
      <c r="M58" s="2"/>
      <c r="N58" s="6">
        <f t="shared" si="39"/>
        <v>-0.28189003436426119</v>
      </c>
      <c r="O58" s="11"/>
      <c r="P58" s="7">
        <v>1671.76</v>
      </c>
      <c r="Q58" s="2"/>
      <c r="R58" s="6">
        <f t="shared" si="40"/>
        <v>0</v>
      </c>
      <c r="S58" s="2"/>
      <c r="T58" s="7">
        <v>2246</v>
      </c>
      <c r="U58" s="2"/>
      <c r="V58" s="6">
        <f t="shared" si="41"/>
        <v>0</v>
      </c>
      <c r="W58" s="2"/>
      <c r="X58" s="7">
        <f t="shared" si="42"/>
        <v>-574.24</v>
      </c>
      <c r="Y58" s="2"/>
      <c r="Z58" s="6">
        <f t="shared" si="43"/>
        <v>-0.25567230632235083</v>
      </c>
    </row>
    <row r="59" spans="1:26" s="28" customFormat="1" outlineLevel="1" collapsed="1" x14ac:dyDescent="0.25">
      <c r="A59" s="29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16.829999999999998</v>
      </c>
      <c r="E59" s="1"/>
      <c r="F59" s="5">
        <f t="shared" si="36"/>
        <v>0</v>
      </c>
      <c r="G59" s="1"/>
      <c r="H59" s="1">
        <f>SUM(OSRRefH22_9x_0)</f>
        <v>198</v>
      </c>
      <c r="I59" s="1"/>
      <c r="J59" s="5">
        <f t="shared" si="37"/>
        <v>0</v>
      </c>
      <c r="K59" s="1"/>
      <c r="L59" s="1">
        <f t="shared" si="38"/>
        <v>-181.17000000000002</v>
      </c>
      <c r="M59" s="1"/>
      <c r="N59" s="5">
        <f t="shared" si="39"/>
        <v>-0.91500000000000004</v>
      </c>
      <c r="O59" s="14"/>
      <c r="P59" s="1">
        <f>SUM(OSRRefP22_9x_0)</f>
        <v>912.28</v>
      </c>
      <c r="Q59" s="1"/>
      <c r="R59" s="5">
        <f t="shared" si="40"/>
        <v>0</v>
      </c>
      <c r="S59" s="1"/>
      <c r="T59" s="1">
        <f>SUM(OSRRefT22_9x_0)</f>
        <v>1584</v>
      </c>
      <c r="U59" s="1"/>
      <c r="V59" s="5">
        <f t="shared" si="41"/>
        <v>0</v>
      </c>
      <c r="W59" s="1"/>
      <c r="X59" s="1">
        <f t="shared" si="42"/>
        <v>-671.72</v>
      </c>
      <c r="Y59" s="1"/>
      <c r="Z59" s="5">
        <f t="shared" si="43"/>
        <v>-0.42406565656565659</v>
      </c>
    </row>
    <row r="60" spans="1:26" s="24" customFormat="1" hidden="1" outlineLevel="2" x14ac:dyDescent="0.25">
      <c r="A60" s="27"/>
      <c r="B60" s="11" t="str">
        <f>CONCATENATE("          ", "6305", " - ", "FREIGHT OUT")</f>
        <v xml:space="preserve">          6305 - FREIGHT OUT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5.41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5.41</v>
      </c>
      <c r="Y60" s="2"/>
      <c r="Z60" s="6">
        <f t="shared" si="43"/>
        <v>0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7">
        <v>16.829999999999998</v>
      </c>
      <c r="E61" s="2"/>
      <c r="F61" s="6">
        <f t="shared" si="36"/>
        <v>0</v>
      </c>
      <c r="G61" s="2"/>
      <c r="H61" s="7">
        <v>198</v>
      </c>
      <c r="I61" s="2"/>
      <c r="J61" s="6">
        <f t="shared" si="37"/>
        <v>0</v>
      </c>
      <c r="K61" s="2"/>
      <c r="L61" s="7">
        <f t="shared" si="38"/>
        <v>-181.17000000000002</v>
      </c>
      <c r="M61" s="2"/>
      <c r="N61" s="6">
        <f t="shared" si="39"/>
        <v>-0.91500000000000004</v>
      </c>
      <c r="O61" s="11"/>
      <c r="P61" s="7">
        <v>906.87</v>
      </c>
      <c r="Q61" s="2"/>
      <c r="R61" s="6">
        <f t="shared" si="40"/>
        <v>0</v>
      </c>
      <c r="S61" s="2"/>
      <c r="T61" s="7">
        <v>1584</v>
      </c>
      <c r="U61" s="2"/>
      <c r="V61" s="6">
        <f t="shared" si="41"/>
        <v>0</v>
      </c>
      <c r="W61" s="2"/>
      <c r="X61" s="7">
        <f t="shared" si="42"/>
        <v>-677.13</v>
      </c>
      <c r="Y61" s="2"/>
      <c r="Z61" s="6">
        <f t="shared" si="43"/>
        <v>-0.42748106060606061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SUM(OSRRefD22_10x_0)</f>
        <v>-489.4</v>
      </c>
      <c r="E62" s="1"/>
      <c r="F62" s="5">
        <f t="shared" ref="F62:F66" si="44">IF(D$12=0,0,D62/D$12)</f>
        <v>0</v>
      </c>
      <c r="G62" s="1"/>
      <c r="H62" s="1">
        <f>SUM(OSRRefH22_10x_0)</f>
        <v>333</v>
      </c>
      <c r="I62" s="1"/>
      <c r="J62" s="5">
        <f t="shared" ref="J62:J66" si="45">IF(H$12=0,0,H62/H$12)</f>
        <v>0</v>
      </c>
      <c r="K62" s="1"/>
      <c r="L62" s="1">
        <f t="shared" ref="L62:L66" si="46">+D62-H62</f>
        <v>-822.4</v>
      </c>
      <c r="M62" s="1"/>
      <c r="N62" s="5">
        <f t="shared" ref="N62:N66" si="47">IF(H62=0,0,L62/H62)</f>
        <v>-2.4696696696696696</v>
      </c>
      <c r="O62" s="14"/>
      <c r="P62" s="1">
        <f>SUM(OSRRefP22_10x_0)</f>
        <v>-61.66</v>
      </c>
      <c r="Q62" s="1"/>
      <c r="R62" s="5">
        <f t="shared" ref="R62:R66" si="48">IF(P$12=0,0,P62/P$12)</f>
        <v>0</v>
      </c>
      <c r="S62" s="1"/>
      <c r="T62" s="1">
        <f>SUM(OSRRefT22_10x_0)</f>
        <v>4064</v>
      </c>
      <c r="U62" s="1"/>
      <c r="V62" s="5">
        <f t="shared" ref="V62:V66" si="49">IF(T$12=0,0,T62/T$12)</f>
        <v>0</v>
      </c>
      <c r="W62" s="1"/>
      <c r="X62" s="1">
        <f t="shared" ref="X62:X66" si="50">+P62-T62</f>
        <v>-4125.66</v>
      </c>
      <c r="Y62" s="1"/>
      <c r="Z62" s="5">
        <f t="shared" ref="Z62:Z66" si="51">IF(T62=0,0,X62/T62)</f>
        <v>-1.0151722440944881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>
        <v>-489.4</v>
      </c>
      <c r="E63" s="2"/>
      <c r="F63" s="6">
        <f t="shared" si="44"/>
        <v>0</v>
      </c>
      <c r="G63" s="2"/>
      <c r="H63" s="7">
        <v>333</v>
      </c>
      <c r="I63" s="2"/>
      <c r="J63" s="6">
        <f t="shared" si="45"/>
        <v>0</v>
      </c>
      <c r="K63" s="2"/>
      <c r="L63" s="7">
        <f t="shared" si="46"/>
        <v>-822.4</v>
      </c>
      <c r="M63" s="2"/>
      <c r="N63" s="6">
        <f t="shared" si="47"/>
        <v>-2.4696696696696696</v>
      </c>
      <c r="O63" s="11"/>
      <c r="P63" s="7">
        <v>-61.66</v>
      </c>
      <c r="Q63" s="2"/>
      <c r="R63" s="6">
        <f t="shared" si="48"/>
        <v>0</v>
      </c>
      <c r="S63" s="2"/>
      <c r="T63" s="7">
        <v>4064</v>
      </c>
      <c r="U63" s="2"/>
      <c r="V63" s="6">
        <f t="shared" si="49"/>
        <v>0</v>
      </c>
      <c r="W63" s="2"/>
      <c r="X63" s="7">
        <f t="shared" si="50"/>
        <v>-4125.66</v>
      </c>
      <c r="Y63" s="2"/>
      <c r="Z63" s="6">
        <f t="shared" si="51"/>
        <v>-1.0151722440944881</v>
      </c>
    </row>
    <row r="64" spans="1:26" s="28" customFormat="1" outlineLevel="1" collapsed="1" x14ac:dyDescent="0.25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SUM(OSRRefD22_11x_0)</f>
        <v>393.67</v>
      </c>
      <c r="E64" s="1"/>
      <c r="F64" s="5">
        <f t="shared" si="44"/>
        <v>0</v>
      </c>
      <c r="G64" s="1"/>
      <c r="H64" s="1">
        <f>SUM(OSRRefH22_11x_0)</f>
        <v>432</v>
      </c>
      <c r="I64" s="1"/>
      <c r="J64" s="5">
        <f t="shared" si="45"/>
        <v>0</v>
      </c>
      <c r="K64" s="1"/>
      <c r="L64" s="1">
        <f t="shared" si="46"/>
        <v>-38.329999999999984</v>
      </c>
      <c r="M64" s="1"/>
      <c r="N64" s="5">
        <f t="shared" si="47"/>
        <v>-8.8726851851851821E-2</v>
      </c>
      <c r="O64" s="14"/>
      <c r="P64" s="1">
        <f>SUM(OSRRefP22_11x_0)</f>
        <v>3149.36</v>
      </c>
      <c r="Q64" s="1"/>
      <c r="R64" s="5">
        <f t="shared" si="48"/>
        <v>0</v>
      </c>
      <c r="S64" s="1"/>
      <c r="T64" s="1">
        <f>SUM(OSRRefT22_11x_0)</f>
        <v>4775</v>
      </c>
      <c r="U64" s="1"/>
      <c r="V64" s="5">
        <f t="shared" si="49"/>
        <v>0</v>
      </c>
      <c r="W64" s="1"/>
      <c r="X64" s="1">
        <f t="shared" si="50"/>
        <v>-1625.6399999999999</v>
      </c>
      <c r="Y64" s="1"/>
      <c r="Z64" s="5">
        <f t="shared" si="51"/>
        <v>-0.34044816753926699</v>
      </c>
    </row>
    <row r="65" spans="1:26" s="24" customFormat="1" hidden="1" outlineLevel="2" x14ac:dyDescent="0.25">
      <c r="A65" s="27"/>
      <c r="B65" s="11" t="str">
        <f>CONCATENATE("          ", "6312", " - ", "FIRE &amp; THEFT INSURANCE")</f>
        <v xml:space="preserve">          6312 - FIRE &amp; THEFT INSURANCE</v>
      </c>
      <c r="C65" s="11"/>
      <c r="D65" s="7"/>
      <c r="E65" s="2"/>
      <c r="F65" s="6">
        <f t="shared" si="44"/>
        <v>0</v>
      </c>
      <c r="G65" s="2"/>
      <c r="H65" s="7"/>
      <c r="I65" s="2"/>
      <c r="J65" s="6">
        <f t="shared" si="45"/>
        <v>0</v>
      </c>
      <c r="K65" s="2"/>
      <c r="L65" s="7">
        <f t="shared" si="46"/>
        <v>0</v>
      </c>
      <c r="M65" s="2"/>
      <c r="N65" s="6">
        <f t="shared" si="47"/>
        <v>0</v>
      </c>
      <c r="O65" s="11"/>
      <c r="P65" s="7"/>
      <c r="Q65" s="2"/>
      <c r="R65" s="6">
        <f t="shared" si="48"/>
        <v>0</v>
      </c>
      <c r="S65" s="2"/>
      <c r="T65" s="7">
        <v>780</v>
      </c>
      <c r="U65" s="2"/>
      <c r="V65" s="6">
        <f t="shared" si="49"/>
        <v>0</v>
      </c>
      <c r="W65" s="2"/>
      <c r="X65" s="7">
        <f t="shared" si="50"/>
        <v>-780</v>
      </c>
      <c r="Y65" s="2"/>
      <c r="Z65" s="6">
        <f t="shared" si="51"/>
        <v>-1</v>
      </c>
    </row>
    <row r="66" spans="1:26" s="24" customFormat="1" hidden="1" outlineLevel="2" x14ac:dyDescent="0.25">
      <c r="A66" s="27"/>
      <c r="B66" s="11" t="str">
        <f>CONCATENATE("          ", "6314", " - ", "LIABILITY INSURANCE")</f>
        <v xml:space="preserve">          6314 - LIABILITY INSURANCE</v>
      </c>
      <c r="C66" s="11"/>
      <c r="D66" s="7">
        <v>393.67</v>
      </c>
      <c r="E66" s="2"/>
      <c r="F66" s="6">
        <f t="shared" si="44"/>
        <v>0</v>
      </c>
      <c r="G66" s="2"/>
      <c r="H66" s="7">
        <v>432</v>
      </c>
      <c r="I66" s="2"/>
      <c r="J66" s="6">
        <f t="shared" si="45"/>
        <v>0</v>
      </c>
      <c r="K66" s="2"/>
      <c r="L66" s="7">
        <f t="shared" si="46"/>
        <v>-38.329999999999984</v>
      </c>
      <c r="M66" s="2"/>
      <c r="N66" s="6">
        <f t="shared" si="47"/>
        <v>-8.8726851851851821E-2</v>
      </c>
      <c r="O66" s="11"/>
      <c r="P66" s="7">
        <v>3149.36</v>
      </c>
      <c r="Q66" s="2"/>
      <c r="R66" s="6">
        <f t="shared" si="48"/>
        <v>0</v>
      </c>
      <c r="S66" s="2"/>
      <c r="T66" s="7">
        <v>3995</v>
      </c>
      <c r="U66" s="2"/>
      <c r="V66" s="6">
        <f t="shared" si="49"/>
        <v>0</v>
      </c>
      <c r="W66" s="2"/>
      <c r="X66" s="7">
        <f t="shared" si="50"/>
        <v>-845.63999999999987</v>
      </c>
      <c r="Y66" s="2"/>
      <c r="Z66" s="6">
        <f t="shared" si="51"/>
        <v>-0.21167459324155191</v>
      </c>
    </row>
    <row r="67" spans="1:26" s="28" customFormat="1" outlineLevel="1" collapsed="1" x14ac:dyDescent="0.25">
      <c r="A67" s="29"/>
      <c r="B67" s="14" t="str">
        <f>CONCATENATE("     ","Professional Services                             ")</f>
        <v xml:space="preserve">     Professional Services                             </v>
      </c>
      <c r="C67" s="14"/>
      <c r="D67" s="1">
        <f>SUM(OSRRefD22_12x_0)</f>
        <v>725</v>
      </c>
      <c r="E67" s="1"/>
      <c r="F67" s="5">
        <f t="shared" ref="F67:F71" si="52">IF(D$12=0,0,D67/D$12)</f>
        <v>0</v>
      </c>
      <c r="G67" s="1"/>
      <c r="H67" s="1">
        <f>SUM(OSRRefH22_12x_0)</f>
        <v>3833</v>
      </c>
      <c r="I67" s="1"/>
      <c r="J67" s="5">
        <f t="shared" ref="J67:J71" si="53">IF(H$12=0,0,H67/H$12)</f>
        <v>0</v>
      </c>
      <c r="K67" s="1"/>
      <c r="L67" s="1">
        <f t="shared" ref="L67:L71" si="54">+D67-H67</f>
        <v>-3108</v>
      </c>
      <c r="M67" s="1"/>
      <c r="N67" s="5">
        <f t="shared" ref="N67:N71" si="55">IF(H67=0,0,L67/H67)</f>
        <v>-0.81085311766240542</v>
      </c>
      <c r="O67" s="14"/>
      <c r="P67" s="1">
        <f>SUM(OSRRefP22_12x_0)</f>
        <v>94181.37000000001</v>
      </c>
      <c r="Q67" s="1"/>
      <c r="R67" s="5">
        <f t="shared" ref="R67:R71" si="56">IF(P$12=0,0,P67/P$12)</f>
        <v>0</v>
      </c>
      <c r="S67" s="1"/>
      <c r="T67" s="1">
        <f>SUM(OSRRefT22_12x_0)</f>
        <v>135664</v>
      </c>
      <c r="U67" s="1"/>
      <c r="V67" s="5">
        <f t="shared" ref="V67:V71" si="57">IF(T$12=0,0,T67/T$12)</f>
        <v>0</v>
      </c>
      <c r="W67" s="1"/>
      <c r="X67" s="1">
        <f t="shared" ref="X67:X71" si="58">+P67-T67</f>
        <v>-41482.62999999999</v>
      </c>
      <c r="Y67" s="1"/>
      <c r="Z67" s="5">
        <f t="shared" ref="Z67:Z71" si="59">IF(T67=0,0,X67/T67)</f>
        <v>-0.30577478181389306</v>
      </c>
    </row>
    <row r="68" spans="1:26" s="24" customFormat="1" hidden="1" outlineLevel="2" x14ac:dyDescent="0.25">
      <c r="A68" s="27"/>
      <c r="B68" s="11" t="str">
        <f>CONCATENATE("          ", "6331", " - ", "INDIRECT COSTS-AUXILIARY ORGAN")</f>
        <v xml:space="preserve">          6331 - INDIRECT COSTS-AUXILIARY ORGAN</v>
      </c>
      <c r="C68" s="11"/>
      <c r="D68" s="7"/>
      <c r="E68" s="2"/>
      <c r="F68" s="6">
        <f t="shared" si="52"/>
        <v>0</v>
      </c>
      <c r="G68" s="2"/>
      <c r="H68" s="7"/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>
        <v>80832.25</v>
      </c>
      <c r="Q68" s="2"/>
      <c r="R68" s="6">
        <f t="shared" si="56"/>
        <v>0</v>
      </c>
      <c r="S68" s="2"/>
      <c r="T68" s="7">
        <v>89500</v>
      </c>
      <c r="U68" s="2"/>
      <c r="V68" s="6">
        <f t="shared" si="57"/>
        <v>0</v>
      </c>
      <c r="W68" s="2"/>
      <c r="X68" s="7">
        <f t="shared" si="58"/>
        <v>-8667.75</v>
      </c>
      <c r="Y68" s="2"/>
      <c r="Z68" s="6">
        <f t="shared" si="59"/>
        <v>-9.68463687150838E-2</v>
      </c>
    </row>
    <row r="69" spans="1:26" s="24" customFormat="1" hidden="1" outlineLevel="2" x14ac:dyDescent="0.25">
      <c r="A69" s="27"/>
      <c r="B69" s="11" t="str">
        <f>CONCATENATE("          ", "6332", " - ", "CONSULTANT FEES")</f>
        <v xml:space="preserve">          6332 - CONSULTANT FEES</v>
      </c>
      <c r="C69" s="11"/>
      <c r="D69" s="7"/>
      <c r="E69" s="2"/>
      <c r="F69" s="6">
        <f t="shared" si="52"/>
        <v>0</v>
      </c>
      <c r="G69" s="2"/>
      <c r="H69" s="7">
        <v>250</v>
      </c>
      <c r="I69" s="2"/>
      <c r="J69" s="6">
        <f t="shared" si="53"/>
        <v>0</v>
      </c>
      <c r="K69" s="2"/>
      <c r="L69" s="7">
        <f t="shared" si="54"/>
        <v>-250</v>
      </c>
      <c r="M69" s="2"/>
      <c r="N69" s="6">
        <f t="shared" si="55"/>
        <v>-1</v>
      </c>
      <c r="O69" s="11"/>
      <c r="P69" s="7"/>
      <c r="Q69" s="2"/>
      <c r="R69" s="6">
        <f t="shared" si="56"/>
        <v>0</v>
      </c>
      <c r="S69" s="2"/>
      <c r="T69" s="7">
        <v>20000</v>
      </c>
      <c r="U69" s="2"/>
      <c r="V69" s="6">
        <f t="shared" si="57"/>
        <v>0</v>
      </c>
      <c r="W69" s="2"/>
      <c r="X69" s="7">
        <f t="shared" si="58"/>
        <v>-20000</v>
      </c>
      <c r="Y69" s="2"/>
      <c r="Z69" s="6">
        <f t="shared" si="59"/>
        <v>-1</v>
      </c>
    </row>
    <row r="70" spans="1:26" s="24" customFormat="1" hidden="1" outlineLevel="2" x14ac:dyDescent="0.25">
      <c r="A70" s="27"/>
      <c r="B70" s="11" t="str">
        <f>CONCATENATE("          ", "6334", " - ", "LEGAL COUNCIL EXPENSE")</f>
        <v xml:space="preserve">          6334 - LEGAL COUNCIL EXPENSE</v>
      </c>
      <c r="C70" s="11"/>
      <c r="D70" s="7">
        <v>725</v>
      </c>
      <c r="E70" s="2"/>
      <c r="F70" s="6">
        <f t="shared" si="52"/>
        <v>0</v>
      </c>
      <c r="G70" s="2"/>
      <c r="H70" s="7">
        <v>2333</v>
      </c>
      <c r="I70" s="2"/>
      <c r="J70" s="6">
        <f t="shared" si="53"/>
        <v>0</v>
      </c>
      <c r="K70" s="2"/>
      <c r="L70" s="7">
        <f t="shared" si="54"/>
        <v>-1608</v>
      </c>
      <c r="M70" s="2"/>
      <c r="N70" s="6">
        <f t="shared" si="55"/>
        <v>-0.68924132018859841</v>
      </c>
      <c r="O70" s="11"/>
      <c r="P70" s="7">
        <v>6979.24</v>
      </c>
      <c r="Q70" s="2"/>
      <c r="R70" s="6">
        <f t="shared" si="56"/>
        <v>0</v>
      </c>
      <c r="S70" s="2"/>
      <c r="T70" s="7">
        <v>11164</v>
      </c>
      <c r="U70" s="2"/>
      <c r="V70" s="6">
        <f t="shared" si="57"/>
        <v>0</v>
      </c>
      <c r="W70" s="2"/>
      <c r="X70" s="7">
        <f t="shared" si="58"/>
        <v>-4184.76</v>
      </c>
      <c r="Y70" s="2"/>
      <c r="Z70" s="6">
        <f t="shared" si="59"/>
        <v>-0.37484414188462917</v>
      </c>
    </row>
    <row r="71" spans="1:26" s="24" customFormat="1" hidden="1" outlineLevel="2" x14ac:dyDescent="0.25">
      <c r="A71" s="27"/>
      <c r="B71" s="11" t="str">
        <f>CONCATENATE("          ", "6336", " - ", "PROFESSIONAL SERVICES")</f>
        <v xml:space="preserve">          6336 - PROFESSIONAL SERVICES</v>
      </c>
      <c r="C71" s="11"/>
      <c r="D71" s="7"/>
      <c r="E71" s="2"/>
      <c r="F71" s="6">
        <f t="shared" si="52"/>
        <v>0</v>
      </c>
      <c r="G71" s="2"/>
      <c r="H71" s="7">
        <v>1250</v>
      </c>
      <c r="I71" s="2"/>
      <c r="J71" s="6">
        <f t="shared" si="53"/>
        <v>0</v>
      </c>
      <c r="K71" s="2"/>
      <c r="L71" s="7">
        <f t="shared" si="54"/>
        <v>-1250</v>
      </c>
      <c r="M71" s="2"/>
      <c r="N71" s="6">
        <f t="shared" si="55"/>
        <v>-1</v>
      </c>
      <c r="O71" s="11"/>
      <c r="P71" s="7">
        <v>6369.88</v>
      </c>
      <c r="Q71" s="2"/>
      <c r="R71" s="6">
        <f t="shared" si="56"/>
        <v>0</v>
      </c>
      <c r="S71" s="2"/>
      <c r="T71" s="7">
        <v>15000</v>
      </c>
      <c r="U71" s="2"/>
      <c r="V71" s="6">
        <f t="shared" si="57"/>
        <v>0</v>
      </c>
      <c r="W71" s="2"/>
      <c r="X71" s="7">
        <f t="shared" si="58"/>
        <v>-8630.119999999999</v>
      </c>
      <c r="Y71" s="2"/>
      <c r="Z71" s="6">
        <f t="shared" si="59"/>
        <v>-0.57534133333333326</v>
      </c>
    </row>
    <row r="72" spans="1:26" s="28" customFormat="1" outlineLevel="1" collapsed="1" x14ac:dyDescent="0.25">
      <c r="A72" s="29"/>
      <c r="B72" s="14" t="str">
        <f>CONCATENATE("     ","Repair and Maintenance                            ")</f>
        <v xml:space="preserve">     Repair and Maintenance                            </v>
      </c>
      <c r="C72" s="14"/>
      <c r="D72" s="1">
        <f>SUM(OSRRefD22_13x_0)</f>
        <v>37709.269999999997</v>
      </c>
      <c r="E72" s="1"/>
      <c r="F72" s="5">
        <f t="shared" ref="F72:F76" si="60">IF(D$12=0,0,D72/D$12)</f>
        <v>0</v>
      </c>
      <c r="G72" s="1"/>
      <c r="H72" s="1">
        <f>SUM(OSRRefH22_13x_0)</f>
        <v>37702</v>
      </c>
      <c r="I72" s="1"/>
      <c r="J72" s="5">
        <f t="shared" ref="J72:J76" si="61">IF(H$12=0,0,H72/H$12)</f>
        <v>0</v>
      </c>
      <c r="K72" s="1"/>
      <c r="L72" s="1">
        <f t="shared" ref="L72:L76" si="62">+D72-H72</f>
        <v>7.2699999999967986</v>
      </c>
      <c r="M72" s="1"/>
      <c r="N72" s="5">
        <f t="shared" ref="N72:N76" si="63">IF(H72=0,0,L72/H72)</f>
        <v>1.9282796668603253E-4</v>
      </c>
      <c r="O72" s="14"/>
      <c r="P72" s="1">
        <f>SUM(OSRRefP22_13x_0)</f>
        <v>178746.49</v>
      </c>
      <c r="Q72" s="1"/>
      <c r="R72" s="5">
        <f t="shared" ref="R72:R76" si="64">IF(P$12=0,0,P72/P$12)</f>
        <v>0</v>
      </c>
      <c r="S72" s="1"/>
      <c r="T72" s="1">
        <f>SUM(OSRRefT22_13x_0)</f>
        <v>214516</v>
      </c>
      <c r="U72" s="1"/>
      <c r="V72" s="5">
        <f t="shared" ref="V72:V76" si="65">IF(T$12=0,0,T72/T$12)</f>
        <v>0</v>
      </c>
      <c r="W72" s="1"/>
      <c r="X72" s="1">
        <f t="shared" ref="X72:X76" si="66">+P72-T72</f>
        <v>-35769.510000000009</v>
      </c>
      <c r="Y72" s="1"/>
      <c r="Z72" s="5">
        <f t="shared" ref="Z72:Z76" si="67">IF(T72=0,0,X72/T72)</f>
        <v>-0.16674518450838172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22056.489999999998</v>
      </c>
      <c r="E73" s="2"/>
      <c r="F73" s="6">
        <f t="shared" si="60"/>
        <v>0</v>
      </c>
      <c r="G73" s="2"/>
      <c r="H73" s="7">
        <v>19770</v>
      </c>
      <c r="I73" s="2"/>
      <c r="J73" s="6">
        <f t="shared" si="61"/>
        <v>0</v>
      </c>
      <c r="K73" s="2"/>
      <c r="L73" s="7">
        <f t="shared" si="62"/>
        <v>2286.489999999998</v>
      </c>
      <c r="M73" s="2"/>
      <c r="N73" s="6">
        <f t="shared" si="63"/>
        <v>0.11565452706120374</v>
      </c>
      <c r="O73" s="11"/>
      <c r="P73" s="7">
        <v>52385.75</v>
      </c>
      <c r="Q73" s="2"/>
      <c r="R73" s="6">
        <f t="shared" si="64"/>
        <v>0</v>
      </c>
      <c r="S73" s="2"/>
      <c r="T73" s="7">
        <v>79060</v>
      </c>
      <c r="U73" s="2"/>
      <c r="V73" s="6">
        <f t="shared" si="65"/>
        <v>0</v>
      </c>
      <c r="W73" s="2"/>
      <c r="X73" s="7">
        <f t="shared" si="66"/>
        <v>-26674.25</v>
      </c>
      <c r="Y73" s="2"/>
      <c r="Z73" s="6">
        <f t="shared" si="67"/>
        <v>-0.33739248671894762</v>
      </c>
    </row>
    <row r="74" spans="1:26" s="24" customFormat="1" hidden="1" outlineLevel="2" x14ac:dyDescent="0.25">
      <c r="A74" s="27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60"/>
        <v>0</v>
      </c>
      <c r="G74" s="2"/>
      <c r="H74" s="7">
        <v>1600</v>
      </c>
      <c r="I74" s="2"/>
      <c r="J74" s="6">
        <f t="shared" si="61"/>
        <v>0</v>
      </c>
      <c r="K74" s="2"/>
      <c r="L74" s="7">
        <f t="shared" si="62"/>
        <v>-1600</v>
      </c>
      <c r="M74" s="2"/>
      <c r="N74" s="6">
        <f t="shared" si="63"/>
        <v>-1</v>
      </c>
      <c r="O74" s="11"/>
      <c r="P74" s="7"/>
      <c r="Q74" s="2"/>
      <c r="R74" s="6">
        <f t="shared" si="64"/>
        <v>0</v>
      </c>
      <c r="S74" s="2"/>
      <c r="T74" s="7">
        <v>12800</v>
      </c>
      <c r="U74" s="2"/>
      <c r="V74" s="6">
        <f t="shared" si="65"/>
        <v>0</v>
      </c>
      <c r="W74" s="2"/>
      <c r="X74" s="7">
        <f t="shared" si="66"/>
        <v>-12800</v>
      </c>
      <c r="Y74" s="2"/>
      <c r="Z74" s="6">
        <f t="shared" si="67"/>
        <v>-1</v>
      </c>
    </row>
    <row r="75" spans="1:26" s="24" customFormat="1" hidden="1" outlineLevel="2" x14ac:dyDescent="0.25">
      <c r="A75" s="27"/>
      <c r="B75" s="11" t="str">
        <f>CONCATENATE("          ", "6373", " - ", "MAINTENANCE CONTRACTS")</f>
        <v xml:space="preserve">          6373 - MAINTENANCE CONTRACTS</v>
      </c>
      <c r="C75" s="11"/>
      <c r="D75" s="7">
        <v>15525.76</v>
      </c>
      <c r="E75" s="2"/>
      <c r="F75" s="6">
        <f t="shared" si="60"/>
        <v>0</v>
      </c>
      <c r="G75" s="2"/>
      <c r="H75" s="7">
        <v>16332</v>
      </c>
      <c r="I75" s="2"/>
      <c r="J75" s="6">
        <f t="shared" si="61"/>
        <v>0</v>
      </c>
      <c r="K75" s="2"/>
      <c r="L75" s="7">
        <f t="shared" si="62"/>
        <v>-806.23999999999978</v>
      </c>
      <c r="M75" s="2"/>
      <c r="N75" s="6">
        <f t="shared" si="63"/>
        <v>-4.9365662503061458E-2</v>
      </c>
      <c r="O75" s="11"/>
      <c r="P75" s="7">
        <v>124063.43000000001</v>
      </c>
      <c r="Q75" s="2"/>
      <c r="R75" s="6">
        <f t="shared" si="64"/>
        <v>0</v>
      </c>
      <c r="S75" s="2"/>
      <c r="T75" s="7">
        <v>122656</v>
      </c>
      <c r="U75" s="2"/>
      <c r="V75" s="6">
        <f t="shared" si="65"/>
        <v>0</v>
      </c>
      <c r="W75" s="2"/>
      <c r="X75" s="7">
        <f t="shared" si="66"/>
        <v>1407.4300000000076</v>
      </c>
      <c r="Y75" s="2"/>
      <c r="Z75" s="6">
        <f t="shared" si="67"/>
        <v>1.1474611922775955E-2</v>
      </c>
    </row>
    <row r="76" spans="1:26" s="24" customFormat="1" hidden="1" outlineLevel="2" x14ac:dyDescent="0.25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127.02</v>
      </c>
      <c r="E76" s="2"/>
      <c r="F76" s="6">
        <f t="shared" si="60"/>
        <v>0</v>
      </c>
      <c r="G76" s="2"/>
      <c r="H76" s="7"/>
      <c r="I76" s="2"/>
      <c r="J76" s="6">
        <f t="shared" si="61"/>
        <v>0</v>
      </c>
      <c r="K76" s="2"/>
      <c r="L76" s="7">
        <f t="shared" si="62"/>
        <v>127.02</v>
      </c>
      <c r="M76" s="2"/>
      <c r="N76" s="6">
        <f t="shared" si="63"/>
        <v>0</v>
      </c>
      <c r="O76" s="11"/>
      <c r="P76" s="7">
        <v>2297.31</v>
      </c>
      <c r="Q76" s="2"/>
      <c r="R76" s="6">
        <f t="shared" si="64"/>
        <v>0</v>
      </c>
      <c r="S76" s="2"/>
      <c r="T76" s="7"/>
      <c r="U76" s="2"/>
      <c r="V76" s="6">
        <f t="shared" si="65"/>
        <v>0</v>
      </c>
      <c r="W76" s="2"/>
      <c r="X76" s="7">
        <f t="shared" si="66"/>
        <v>2297.31</v>
      </c>
      <c r="Y76" s="2"/>
      <c r="Z76" s="6">
        <f t="shared" si="67"/>
        <v>0</v>
      </c>
    </row>
    <row r="77" spans="1:26" s="28" customFormat="1" outlineLevel="1" collapsed="1" x14ac:dyDescent="0.25">
      <c r="A77" s="29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621.34</v>
      </c>
      <c r="E77" s="1"/>
      <c r="F77" s="5">
        <f t="shared" ref="F77:F79" si="68">IF(D$12=0,0,D77/D$12)</f>
        <v>0</v>
      </c>
      <c r="G77" s="1"/>
      <c r="H77" s="1">
        <f>SUM(OSRRefH22_14x_0)</f>
        <v>525</v>
      </c>
      <c r="I77" s="1"/>
      <c r="J77" s="5">
        <f t="shared" ref="J77:J79" si="69">IF(H$12=0,0,H77/H$12)</f>
        <v>0</v>
      </c>
      <c r="K77" s="1"/>
      <c r="L77" s="1">
        <f t="shared" ref="L77:L79" si="70">+D77-H77</f>
        <v>96.340000000000032</v>
      </c>
      <c r="M77" s="1"/>
      <c r="N77" s="5">
        <f t="shared" ref="N77:N79" si="71">IF(H77=0,0,L77/H77)</f>
        <v>0.18350476190476198</v>
      </c>
      <c r="O77" s="14"/>
      <c r="P77" s="1">
        <f>SUM(OSRRefP22_14x_0)</f>
        <v>4329.0200000000004</v>
      </c>
      <c r="Q77" s="1"/>
      <c r="R77" s="5">
        <f t="shared" ref="R77:R79" si="72">IF(P$12=0,0,P77/P$12)</f>
        <v>0</v>
      </c>
      <c r="S77" s="1"/>
      <c r="T77" s="1">
        <f>SUM(OSRRefT22_14x_0)</f>
        <v>4200</v>
      </c>
      <c r="U77" s="1"/>
      <c r="V77" s="5">
        <f t="shared" ref="V77:V79" si="73">IF(T$12=0,0,T77/T$12)</f>
        <v>0</v>
      </c>
      <c r="W77" s="1"/>
      <c r="X77" s="1">
        <f t="shared" ref="X77:X79" si="74">+P77-T77</f>
        <v>129.02000000000044</v>
      </c>
      <c r="Y77" s="1"/>
      <c r="Z77" s="5">
        <f t="shared" ref="Z77:Z79" si="75">IF(T77=0,0,X77/T77)</f>
        <v>3.0719047619047722E-2</v>
      </c>
    </row>
    <row r="78" spans="1:26" s="24" customFormat="1" hidden="1" outlineLevel="2" x14ac:dyDescent="0.25">
      <c r="A78" s="27"/>
      <c r="B78" s="11" t="str">
        <f>CONCATENATE("          ", "6281", " - ", "STORAGE FEE")</f>
        <v xml:space="preserve">          6281 - STORAGE FEE</v>
      </c>
      <c r="C78" s="11"/>
      <c r="D78" s="7">
        <v>621.34</v>
      </c>
      <c r="E78" s="2"/>
      <c r="F78" s="6">
        <f t="shared" si="68"/>
        <v>0</v>
      </c>
      <c r="G78" s="2"/>
      <c r="H78" s="7">
        <v>500</v>
      </c>
      <c r="I78" s="2"/>
      <c r="J78" s="6">
        <f t="shared" si="69"/>
        <v>0</v>
      </c>
      <c r="K78" s="2"/>
      <c r="L78" s="7">
        <f t="shared" si="70"/>
        <v>121.34000000000003</v>
      </c>
      <c r="M78" s="2"/>
      <c r="N78" s="6">
        <f t="shared" si="71"/>
        <v>0.24268000000000006</v>
      </c>
      <c r="O78" s="11"/>
      <c r="P78" s="7">
        <v>4329.0200000000004</v>
      </c>
      <c r="Q78" s="2"/>
      <c r="R78" s="6">
        <f t="shared" si="72"/>
        <v>0</v>
      </c>
      <c r="S78" s="2"/>
      <c r="T78" s="7">
        <v>4000</v>
      </c>
      <c r="U78" s="2"/>
      <c r="V78" s="6">
        <f t="shared" si="73"/>
        <v>0</v>
      </c>
      <c r="W78" s="2"/>
      <c r="X78" s="7">
        <f t="shared" si="74"/>
        <v>329.02000000000044</v>
      </c>
      <c r="Y78" s="2"/>
      <c r="Z78" s="6">
        <f t="shared" si="75"/>
        <v>8.2255000000000106E-2</v>
      </c>
    </row>
    <row r="79" spans="1:26" s="24" customFormat="1" hidden="1" outlineLevel="2" x14ac:dyDescent="0.25">
      <c r="A79" s="27"/>
      <c r="B79" s="11" t="str">
        <f>CONCATENATE("          ", "6286", " - ", "LAUNDRY EXPENSE")</f>
        <v xml:space="preserve">          6286 - LAUNDRY EXPENSE</v>
      </c>
      <c r="C79" s="11"/>
      <c r="D79" s="7"/>
      <c r="E79" s="2"/>
      <c r="F79" s="6">
        <f t="shared" si="68"/>
        <v>0</v>
      </c>
      <c r="G79" s="2"/>
      <c r="H79" s="7">
        <v>25</v>
      </c>
      <c r="I79" s="2"/>
      <c r="J79" s="6">
        <f t="shared" si="69"/>
        <v>0</v>
      </c>
      <c r="K79" s="2"/>
      <c r="L79" s="7">
        <f t="shared" si="70"/>
        <v>-25</v>
      </c>
      <c r="M79" s="2"/>
      <c r="N79" s="6">
        <f t="shared" si="71"/>
        <v>-1</v>
      </c>
      <c r="O79" s="11"/>
      <c r="P79" s="7"/>
      <c r="Q79" s="2"/>
      <c r="R79" s="6">
        <f t="shared" si="72"/>
        <v>0</v>
      </c>
      <c r="S79" s="2"/>
      <c r="T79" s="7">
        <v>200</v>
      </c>
      <c r="U79" s="2"/>
      <c r="V79" s="6">
        <f t="shared" si="73"/>
        <v>0</v>
      </c>
      <c r="W79" s="2"/>
      <c r="X79" s="7">
        <f t="shared" si="74"/>
        <v>-200</v>
      </c>
      <c r="Y79" s="2"/>
      <c r="Z79" s="6">
        <f t="shared" si="75"/>
        <v>-1</v>
      </c>
    </row>
    <row r="80" spans="1:26" s="28" customFormat="1" outlineLevel="1" collapsed="1" x14ac:dyDescent="0.25">
      <c r="A80" s="29"/>
      <c r="B80" s="14" t="str">
        <f>CONCATENATE("     ","Subscriptions &amp; Dues                              ")</f>
        <v xml:space="preserve">     Subscriptions &amp; Dues                              </v>
      </c>
      <c r="C80" s="14"/>
      <c r="D80" s="1">
        <f>SUM(OSRRefD22_15x_0)</f>
        <v>795</v>
      </c>
      <c r="E80" s="1"/>
      <c r="F80" s="5">
        <f t="shared" ref="F80:F82" si="76">IF(D$12=0,0,D80/D$12)</f>
        <v>0</v>
      </c>
      <c r="G80" s="1"/>
      <c r="H80" s="1">
        <f>SUM(OSRRefH22_15x_0)</f>
        <v>155</v>
      </c>
      <c r="I80" s="1"/>
      <c r="J80" s="5">
        <f t="shared" ref="J80:J82" si="77">IF(H$12=0,0,H80/H$12)</f>
        <v>0</v>
      </c>
      <c r="K80" s="1"/>
      <c r="L80" s="1">
        <f t="shared" ref="L80:L82" si="78">+D80-H80</f>
        <v>640</v>
      </c>
      <c r="M80" s="1"/>
      <c r="N80" s="5">
        <f t="shared" ref="N80:N82" si="79">IF(H80=0,0,L80/H80)</f>
        <v>4.129032258064516</v>
      </c>
      <c r="O80" s="14"/>
      <c r="P80" s="1">
        <f>SUM(OSRRefP22_15x_0)</f>
        <v>3054.99</v>
      </c>
      <c r="Q80" s="1"/>
      <c r="R80" s="5">
        <f t="shared" ref="R80:R82" si="80">IF(P$12=0,0,P80/P$12)</f>
        <v>0</v>
      </c>
      <c r="S80" s="1"/>
      <c r="T80" s="1">
        <f>SUM(OSRRefT22_15x_0)</f>
        <v>3990</v>
      </c>
      <c r="U80" s="1"/>
      <c r="V80" s="5">
        <f t="shared" ref="V80:V82" si="81">IF(T$12=0,0,T80/T$12)</f>
        <v>0</v>
      </c>
      <c r="W80" s="1"/>
      <c r="X80" s="1">
        <f t="shared" ref="X80:X82" si="82">+P80-T80</f>
        <v>-935.01000000000022</v>
      </c>
      <c r="Y80" s="1"/>
      <c r="Z80" s="5">
        <f t="shared" ref="Z80:Z82" si="83">IF(T80=0,0,X80/T80)</f>
        <v>-0.23433834586466171</v>
      </c>
    </row>
    <row r="81" spans="1:26" s="24" customFormat="1" hidden="1" outlineLevel="2" x14ac:dyDescent="0.25">
      <c r="A81" s="27"/>
      <c r="B81" s="11" t="str">
        <f>CONCATENATE("          ", "6258", " - ", "MEMBERSHIP DUES")</f>
        <v xml:space="preserve">          6258 - MEMBERSHIP DUES</v>
      </c>
      <c r="C81" s="11"/>
      <c r="D81" s="7">
        <v>795</v>
      </c>
      <c r="E81" s="2"/>
      <c r="F81" s="6">
        <f t="shared" si="76"/>
        <v>0</v>
      </c>
      <c r="G81" s="2"/>
      <c r="H81" s="7">
        <v>55</v>
      </c>
      <c r="I81" s="2"/>
      <c r="J81" s="6">
        <f t="shared" si="77"/>
        <v>0</v>
      </c>
      <c r="K81" s="2"/>
      <c r="L81" s="7">
        <f t="shared" si="78"/>
        <v>740</v>
      </c>
      <c r="M81" s="2"/>
      <c r="N81" s="6">
        <f t="shared" si="79"/>
        <v>13.454545454545455</v>
      </c>
      <c r="O81" s="11"/>
      <c r="P81" s="7">
        <v>3054.99</v>
      </c>
      <c r="Q81" s="2"/>
      <c r="R81" s="6">
        <f t="shared" si="80"/>
        <v>0</v>
      </c>
      <c r="S81" s="2"/>
      <c r="T81" s="7">
        <v>3190</v>
      </c>
      <c r="U81" s="2"/>
      <c r="V81" s="6">
        <f t="shared" si="81"/>
        <v>0</v>
      </c>
      <c r="W81" s="2"/>
      <c r="X81" s="7">
        <f t="shared" si="82"/>
        <v>-135.01000000000022</v>
      </c>
      <c r="Y81" s="2"/>
      <c r="Z81" s="6">
        <f t="shared" si="83"/>
        <v>-4.2322884012539252E-2</v>
      </c>
    </row>
    <row r="82" spans="1:26" s="24" customFormat="1" hidden="1" outlineLevel="2" x14ac:dyDescent="0.25">
      <c r="A82" s="27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76"/>
        <v>0</v>
      </c>
      <c r="G82" s="2"/>
      <c r="H82" s="7">
        <v>100</v>
      </c>
      <c r="I82" s="2"/>
      <c r="J82" s="6">
        <f t="shared" si="77"/>
        <v>0</v>
      </c>
      <c r="K82" s="2"/>
      <c r="L82" s="7">
        <f t="shared" si="78"/>
        <v>-100</v>
      </c>
      <c r="M82" s="2"/>
      <c r="N82" s="6">
        <f t="shared" si="79"/>
        <v>-1</v>
      </c>
      <c r="O82" s="11"/>
      <c r="P82" s="7"/>
      <c r="Q82" s="2"/>
      <c r="R82" s="6">
        <f t="shared" si="80"/>
        <v>0</v>
      </c>
      <c r="S82" s="2"/>
      <c r="T82" s="7">
        <v>800</v>
      </c>
      <c r="U82" s="2"/>
      <c r="V82" s="6">
        <f t="shared" si="81"/>
        <v>0</v>
      </c>
      <c r="W82" s="2"/>
      <c r="X82" s="7">
        <f t="shared" si="82"/>
        <v>-800</v>
      </c>
      <c r="Y82" s="2"/>
      <c r="Z82" s="6">
        <f t="shared" si="83"/>
        <v>-1</v>
      </c>
    </row>
    <row r="83" spans="1:26" s="28" customFormat="1" outlineLevel="1" collapsed="1" x14ac:dyDescent="0.25">
      <c r="A83" s="29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2119</v>
      </c>
      <c r="E83" s="1"/>
      <c r="F83" s="5">
        <f t="shared" ref="F83:F88" si="84">IF(D$12=0,0,D83/D$12)</f>
        <v>0</v>
      </c>
      <c r="G83" s="1"/>
      <c r="H83" s="1">
        <f>SUM(OSRRefH22_16x_0)</f>
        <v>4417</v>
      </c>
      <c r="I83" s="1"/>
      <c r="J83" s="5">
        <f t="shared" ref="J83:J88" si="85">IF(H$12=0,0,H83/H$12)</f>
        <v>0</v>
      </c>
      <c r="K83" s="1"/>
      <c r="L83" s="1">
        <f t="shared" ref="L83:L88" si="86">+D83-H83</f>
        <v>-2298</v>
      </c>
      <c r="M83" s="1"/>
      <c r="N83" s="5">
        <f t="shared" ref="N83:N88" si="87">IF(H83=0,0,L83/H83)</f>
        <v>-0.52026262168892912</v>
      </c>
      <c r="O83" s="14"/>
      <c r="P83" s="1">
        <f>SUM(OSRRefP22_16x_0)</f>
        <v>2908.0699999999997</v>
      </c>
      <c r="Q83" s="1"/>
      <c r="R83" s="5">
        <f t="shared" ref="R83:R88" si="88">IF(P$12=0,0,P83/P$12)</f>
        <v>0</v>
      </c>
      <c r="S83" s="1"/>
      <c r="T83" s="1">
        <f>SUM(OSRRefT22_16x_0)</f>
        <v>53420</v>
      </c>
      <c r="U83" s="1"/>
      <c r="V83" s="5">
        <f t="shared" ref="V83:V88" si="89">IF(T$12=0,0,T83/T$12)</f>
        <v>0</v>
      </c>
      <c r="W83" s="1"/>
      <c r="X83" s="1">
        <f t="shared" ref="X83:X88" si="90">+P83-T83</f>
        <v>-50511.93</v>
      </c>
      <c r="Y83" s="1"/>
      <c r="Z83" s="5">
        <f t="shared" ref="Z83:Z88" si="91">IF(T83=0,0,X83/T83)</f>
        <v>-0.94556214900786228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84"/>
        <v>0</v>
      </c>
      <c r="G84" s="2"/>
      <c r="H84" s="7">
        <v>1000</v>
      </c>
      <c r="I84" s="2"/>
      <c r="J84" s="6">
        <f t="shared" si="85"/>
        <v>0</v>
      </c>
      <c r="K84" s="2"/>
      <c r="L84" s="7">
        <f t="shared" si="86"/>
        <v>-1000</v>
      </c>
      <c r="M84" s="2"/>
      <c r="N84" s="6">
        <f t="shared" si="87"/>
        <v>-1</v>
      </c>
      <c r="O84" s="11"/>
      <c r="P84" s="7"/>
      <c r="Q84" s="2"/>
      <c r="R84" s="6">
        <f t="shared" si="88"/>
        <v>0</v>
      </c>
      <c r="S84" s="2"/>
      <c r="T84" s="7">
        <v>17584</v>
      </c>
      <c r="U84" s="2"/>
      <c r="V84" s="6">
        <f t="shared" si="89"/>
        <v>0</v>
      </c>
      <c r="W84" s="2"/>
      <c r="X84" s="7">
        <f t="shared" si="90"/>
        <v>-17584</v>
      </c>
      <c r="Y84" s="2"/>
      <c r="Z84" s="6">
        <f t="shared" si="91"/>
        <v>-1</v>
      </c>
    </row>
    <row r="85" spans="1:26" s="24" customFormat="1" hidden="1" outlineLevel="2" x14ac:dyDescent="0.25">
      <c r="A85" s="27"/>
      <c r="B85" s="11" t="str">
        <f>CONCATENATE("          ", "6235", " - ", "COVID-19 EXPENSES")</f>
        <v xml:space="preserve">          6235 - COVID-19 EXPENSES</v>
      </c>
      <c r="C85" s="11"/>
      <c r="D85" s="7"/>
      <c r="E85" s="2"/>
      <c r="F85" s="6">
        <f t="shared" si="84"/>
        <v>0</v>
      </c>
      <c r="G85" s="2"/>
      <c r="H85" s="7">
        <v>417</v>
      </c>
      <c r="I85" s="2"/>
      <c r="J85" s="6">
        <f t="shared" si="85"/>
        <v>0</v>
      </c>
      <c r="K85" s="2"/>
      <c r="L85" s="7">
        <f t="shared" si="86"/>
        <v>-417</v>
      </c>
      <c r="M85" s="2"/>
      <c r="N85" s="6">
        <f t="shared" si="87"/>
        <v>-1</v>
      </c>
      <c r="O85" s="11"/>
      <c r="P85" s="7">
        <v>810.3</v>
      </c>
      <c r="Q85" s="2"/>
      <c r="R85" s="6">
        <f t="shared" si="88"/>
        <v>0</v>
      </c>
      <c r="S85" s="2"/>
      <c r="T85" s="7">
        <v>4336</v>
      </c>
      <c r="U85" s="2"/>
      <c r="V85" s="6">
        <f t="shared" si="89"/>
        <v>0</v>
      </c>
      <c r="W85" s="2"/>
      <c r="X85" s="7">
        <f t="shared" si="90"/>
        <v>-3525.7</v>
      </c>
      <c r="Y85" s="2"/>
      <c r="Z85" s="6">
        <f t="shared" si="91"/>
        <v>-0.81312269372693724</v>
      </c>
    </row>
    <row r="86" spans="1:26" s="24" customFormat="1" hidden="1" outlineLevel="2" x14ac:dyDescent="0.25">
      <c r="A86" s="27"/>
      <c r="B86" s="11" t="str">
        <f>CONCATENATE("          ", "6241", " - ", "OFFICE EXPENSE")</f>
        <v xml:space="preserve">          6241 - OFFICE EXPENSE</v>
      </c>
      <c r="C86" s="11"/>
      <c r="D86" s="7">
        <v>2119</v>
      </c>
      <c r="E86" s="2"/>
      <c r="F86" s="6">
        <f t="shared" si="84"/>
        <v>0</v>
      </c>
      <c r="G86" s="2"/>
      <c r="H86" s="7">
        <v>2583</v>
      </c>
      <c r="I86" s="2"/>
      <c r="J86" s="6">
        <f t="shared" si="85"/>
        <v>0</v>
      </c>
      <c r="K86" s="2"/>
      <c r="L86" s="7">
        <f t="shared" si="86"/>
        <v>-464</v>
      </c>
      <c r="M86" s="2"/>
      <c r="N86" s="6">
        <f t="shared" si="87"/>
        <v>-0.17963608207510648</v>
      </c>
      <c r="O86" s="11"/>
      <c r="P86" s="7">
        <v>1875.06</v>
      </c>
      <c r="Q86" s="2"/>
      <c r="R86" s="6">
        <f t="shared" si="88"/>
        <v>0</v>
      </c>
      <c r="S86" s="2"/>
      <c r="T86" s="7">
        <v>23164</v>
      </c>
      <c r="U86" s="2"/>
      <c r="V86" s="6">
        <f t="shared" si="89"/>
        <v>0</v>
      </c>
      <c r="W86" s="2"/>
      <c r="X86" s="7">
        <f t="shared" si="90"/>
        <v>-21288.94</v>
      </c>
      <c r="Y86" s="2"/>
      <c r="Z86" s="6">
        <f t="shared" si="91"/>
        <v>-0.91905284061474701</v>
      </c>
    </row>
    <row r="87" spans="1:26" s="24" customFormat="1" hidden="1" outlineLevel="2" x14ac:dyDescent="0.25">
      <c r="A87" s="27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84"/>
        <v>0</v>
      </c>
      <c r="G87" s="2"/>
      <c r="H87" s="7">
        <v>417</v>
      </c>
      <c r="I87" s="2"/>
      <c r="J87" s="6">
        <f t="shared" si="85"/>
        <v>0</v>
      </c>
      <c r="K87" s="2"/>
      <c r="L87" s="7">
        <f t="shared" si="86"/>
        <v>-417</v>
      </c>
      <c r="M87" s="2"/>
      <c r="N87" s="6">
        <f t="shared" si="87"/>
        <v>-1</v>
      </c>
      <c r="O87" s="11"/>
      <c r="P87" s="7">
        <v>222.71</v>
      </c>
      <c r="Q87" s="2"/>
      <c r="R87" s="6">
        <f t="shared" si="88"/>
        <v>0</v>
      </c>
      <c r="S87" s="2"/>
      <c r="T87" s="7">
        <v>3336</v>
      </c>
      <c r="U87" s="2"/>
      <c r="V87" s="6">
        <f t="shared" si="89"/>
        <v>0</v>
      </c>
      <c r="W87" s="2"/>
      <c r="X87" s="7">
        <f t="shared" si="90"/>
        <v>-3113.29</v>
      </c>
      <c r="Y87" s="2"/>
      <c r="Z87" s="6">
        <f t="shared" si="91"/>
        <v>-0.93324040767386085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84"/>
        <v>0</v>
      </c>
      <c r="G88" s="2"/>
      <c r="H88" s="7"/>
      <c r="I88" s="2"/>
      <c r="J88" s="6">
        <f t="shared" si="85"/>
        <v>0</v>
      </c>
      <c r="K88" s="2"/>
      <c r="L88" s="7">
        <f t="shared" si="86"/>
        <v>0</v>
      </c>
      <c r="M88" s="2"/>
      <c r="N88" s="6">
        <f t="shared" si="87"/>
        <v>0</v>
      </c>
      <c r="O88" s="11"/>
      <c r="P88" s="7"/>
      <c r="Q88" s="2"/>
      <c r="R88" s="6">
        <f t="shared" si="88"/>
        <v>0</v>
      </c>
      <c r="S88" s="2"/>
      <c r="T88" s="7">
        <v>5000</v>
      </c>
      <c r="U88" s="2"/>
      <c r="V88" s="6">
        <f t="shared" si="89"/>
        <v>0</v>
      </c>
      <c r="W88" s="2"/>
      <c r="X88" s="7">
        <f t="shared" si="90"/>
        <v>-5000</v>
      </c>
      <c r="Y88" s="2"/>
      <c r="Z88" s="6">
        <f t="shared" si="91"/>
        <v>-1</v>
      </c>
    </row>
    <row r="89" spans="1:26" s="28" customFormat="1" outlineLevel="1" collapsed="1" x14ac:dyDescent="0.25">
      <c r="A89" s="29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SUM(OSRRefD22_17x_0)</f>
        <v>2681.8799999999997</v>
      </c>
      <c r="E89" s="1"/>
      <c r="F89" s="5">
        <f t="shared" ref="F89:F91" si="92">IF(D$12=0,0,D89/D$12)</f>
        <v>0</v>
      </c>
      <c r="G89" s="1"/>
      <c r="H89" s="1">
        <f>SUM(OSRRefH22_17x_0)</f>
        <v>1435</v>
      </c>
      <c r="I89" s="1"/>
      <c r="J89" s="5">
        <f t="shared" ref="J89:J91" si="93">IF(H$12=0,0,H89/H$12)</f>
        <v>0</v>
      </c>
      <c r="K89" s="1"/>
      <c r="L89" s="1">
        <f t="shared" ref="L89:L91" si="94">+D89-H89</f>
        <v>1246.8799999999997</v>
      </c>
      <c r="M89" s="1"/>
      <c r="N89" s="5">
        <f t="shared" ref="N89:N91" si="95">IF(H89=0,0,L89/H89)</f>
        <v>0.86890592334494754</v>
      </c>
      <c r="O89" s="14"/>
      <c r="P89" s="1">
        <f>SUM(OSRRefP22_17x_0)</f>
        <v>17351.02</v>
      </c>
      <c r="Q89" s="1"/>
      <c r="R89" s="5">
        <f t="shared" ref="R89:R91" si="96">IF(P$12=0,0,P89/P$12)</f>
        <v>0</v>
      </c>
      <c r="S89" s="1"/>
      <c r="T89" s="1">
        <f>SUM(OSRRefT22_17x_0)</f>
        <v>13580</v>
      </c>
      <c r="U89" s="1"/>
      <c r="V89" s="5">
        <f t="shared" ref="V89:V91" si="97">IF(T$12=0,0,T89/T$12)</f>
        <v>0</v>
      </c>
      <c r="W89" s="1"/>
      <c r="X89" s="1">
        <f t="shared" ref="X89:X91" si="98">+P89-T89</f>
        <v>3771.0200000000004</v>
      </c>
      <c r="Y89" s="1"/>
      <c r="Z89" s="5">
        <f t="shared" ref="Z89:Z91" si="99">IF(T89=0,0,X89/T89)</f>
        <v>0.2776892488954345</v>
      </c>
    </row>
    <row r="90" spans="1:26" s="24" customFormat="1" hidden="1" outlineLevel="2" x14ac:dyDescent="0.25">
      <c r="A90" s="27"/>
      <c r="B90" s="11" t="str">
        <f>CONCATENATE("          ", "6303", " - ", "DATA PHONE LINES")</f>
        <v xml:space="preserve">          6303 - DATA PHONE LINES</v>
      </c>
      <c r="C90" s="11"/>
      <c r="D90" s="7">
        <v>78.989999999999995</v>
      </c>
      <c r="E90" s="2"/>
      <c r="F90" s="6">
        <f t="shared" si="92"/>
        <v>0</v>
      </c>
      <c r="G90" s="2"/>
      <c r="H90" s="7">
        <v>335</v>
      </c>
      <c r="I90" s="2"/>
      <c r="J90" s="6">
        <f t="shared" si="93"/>
        <v>0</v>
      </c>
      <c r="K90" s="2"/>
      <c r="L90" s="7">
        <f t="shared" si="94"/>
        <v>-256.01</v>
      </c>
      <c r="M90" s="2"/>
      <c r="N90" s="6">
        <f t="shared" si="95"/>
        <v>-0.76420895522388055</v>
      </c>
      <c r="O90" s="11"/>
      <c r="P90" s="7">
        <v>1002.87</v>
      </c>
      <c r="Q90" s="2"/>
      <c r="R90" s="6">
        <f t="shared" si="96"/>
        <v>0</v>
      </c>
      <c r="S90" s="2"/>
      <c r="T90" s="7">
        <v>4480</v>
      </c>
      <c r="U90" s="2"/>
      <c r="V90" s="6">
        <f t="shared" si="97"/>
        <v>0</v>
      </c>
      <c r="W90" s="2"/>
      <c r="X90" s="7">
        <f t="shared" si="98"/>
        <v>-3477.13</v>
      </c>
      <c r="Y90" s="2"/>
      <c r="Z90" s="6">
        <f t="shared" si="99"/>
        <v>-0.77614508928571435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7">
        <v>2602.89</v>
      </c>
      <c r="E91" s="2"/>
      <c r="F91" s="6">
        <f t="shared" si="92"/>
        <v>0</v>
      </c>
      <c r="G91" s="2"/>
      <c r="H91" s="7">
        <v>1100</v>
      </c>
      <c r="I91" s="2"/>
      <c r="J91" s="6">
        <f t="shared" si="93"/>
        <v>0</v>
      </c>
      <c r="K91" s="2"/>
      <c r="L91" s="7">
        <f t="shared" si="94"/>
        <v>1502.8899999999999</v>
      </c>
      <c r="M91" s="2"/>
      <c r="N91" s="6">
        <f t="shared" si="95"/>
        <v>1.3662636363636362</v>
      </c>
      <c r="O91" s="11"/>
      <c r="P91" s="7">
        <v>16348.150000000001</v>
      </c>
      <c r="Q91" s="2"/>
      <c r="R91" s="6">
        <f t="shared" si="96"/>
        <v>0</v>
      </c>
      <c r="S91" s="2"/>
      <c r="T91" s="7">
        <v>9100</v>
      </c>
      <c r="U91" s="2"/>
      <c r="V91" s="6">
        <f t="shared" si="97"/>
        <v>0</v>
      </c>
      <c r="W91" s="2"/>
      <c r="X91" s="7">
        <f t="shared" si="98"/>
        <v>7248.1500000000015</v>
      </c>
      <c r="Y91" s="2"/>
      <c r="Z91" s="6">
        <f t="shared" si="99"/>
        <v>0.79650000000000021</v>
      </c>
    </row>
    <row r="92" spans="1:26" s="28" customFormat="1" outlineLevel="1" collapsed="1" x14ac:dyDescent="0.25">
      <c r="A92" s="29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SUM(OSRRefD22_18x_0)</f>
        <v>150</v>
      </c>
      <c r="E92" s="1"/>
      <c r="F92" s="5">
        <f t="shared" ref="F92:F96" si="100">IF(D$12=0,0,D92/D$12)</f>
        <v>0</v>
      </c>
      <c r="G92" s="1"/>
      <c r="H92" s="1">
        <f>SUM(OSRRefH22_18x_0)</f>
        <v>1696</v>
      </c>
      <c r="I92" s="1"/>
      <c r="J92" s="5">
        <f t="shared" ref="J92:J96" si="101">IF(H$12=0,0,H92/H$12)</f>
        <v>0</v>
      </c>
      <c r="K92" s="1"/>
      <c r="L92" s="1">
        <f t="shared" ref="L92:L96" si="102">+D92-H92</f>
        <v>-1546</v>
      </c>
      <c r="M92" s="1"/>
      <c r="N92" s="5">
        <f t="shared" ref="N92:N96" si="103">IF(H92=0,0,L92/H92)</f>
        <v>-0.91155660377358494</v>
      </c>
      <c r="O92" s="14"/>
      <c r="P92" s="1">
        <f>SUM(OSRRefP22_18x_0)</f>
        <v>1826.5</v>
      </c>
      <c r="Q92" s="1"/>
      <c r="R92" s="5">
        <f t="shared" ref="R92:R96" si="104">IF(P$12=0,0,P92/P$12)</f>
        <v>0</v>
      </c>
      <c r="S92" s="1"/>
      <c r="T92" s="1">
        <f>SUM(OSRRefT22_18x_0)</f>
        <v>16218</v>
      </c>
      <c r="U92" s="1"/>
      <c r="V92" s="5">
        <f t="shared" ref="V92:V96" si="105">IF(T$12=0,0,T92/T$12)</f>
        <v>0</v>
      </c>
      <c r="W92" s="1"/>
      <c r="X92" s="1">
        <f t="shared" ref="X92:X96" si="106">+P92-T92</f>
        <v>-14391.5</v>
      </c>
      <c r="Y92" s="1"/>
      <c r="Z92" s="5">
        <f t="shared" ref="Z92:Z96" si="107">IF(T92=0,0,X92/T92)</f>
        <v>-0.8873782217289431</v>
      </c>
    </row>
    <row r="93" spans="1:26" s="24" customFormat="1" hidden="1" outlineLevel="2" x14ac:dyDescent="0.25">
      <c r="A93" s="27"/>
      <c r="B93" s="11" t="str">
        <f>CONCATENATE("          ", "6376", " - ", "TRAINING")</f>
        <v xml:space="preserve">          6376 - TRAINING</v>
      </c>
      <c r="C93" s="11"/>
      <c r="D93" s="7">
        <v>150</v>
      </c>
      <c r="E93" s="2"/>
      <c r="F93" s="6">
        <f t="shared" si="100"/>
        <v>0</v>
      </c>
      <c r="G93" s="2"/>
      <c r="H93" s="7">
        <v>1696</v>
      </c>
      <c r="I93" s="2"/>
      <c r="J93" s="6">
        <f t="shared" si="101"/>
        <v>0</v>
      </c>
      <c r="K93" s="2"/>
      <c r="L93" s="7">
        <f t="shared" si="102"/>
        <v>-1546</v>
      </c>
      <c r="M93" s="2"/>
      <c r="N93" s="6">
        <f t="shared" si="103"/>
        <v>-0.91155660377358494</v>
      </c>
      <c r="O93" s="11"/>
      <c r="P93" s="7">
        <v>1826.5</v>
      </c>
      <c r="Q93" s="2"/>
      <c r="R93" s="6">
        <f t="shared" si="104"/>
        <v>0</v>
      </c>
      <c r="S93" s="2"/>
      <c r="T93" s="7">
        <v>16218</v>
      </c>
      <c r="U93" s="2"/>
      <c r="V93" s="6">
        <f t="shared" si="105"/>
        <v>0</v>
      </c>
      <c r="W93" s="2"/>
      <c r="X93" s="7">
        <f t="shared" si="106"/>
        <v>-14391.5</v>
      </c>
      <c r="Y93" s="2"/>
      <c r="Z93" s="6">
        <f t="shared" si="107"/>
        <v>-0.8873782217289431</v>
      </c>
    </row>
    <row r="94" spans="1:26" s="28" customFormat="1" outlineLevel="1" collapsed="1" x14ac:dyDescent="0.25">
      <c r="A94" s="29"/>
      <c r="B94" s="14" t="str">
        <f>CONCATENATE("     ","Travel                                            ")</f>
        <v xml:space="preserve">     Travel                                            </v>
      </c>
      <c r="C94" s="14"/>
      <c r="D94" s="1">
        <f>SUM(OSRRefD22_19x_0)</f>
        <v>0</v>
      </c>
      <c r="E94" s="1"/>
      <c r="F94" s="5">
        <f t="shared" si="100"/>
        <v>0</v>
      </c>
      <c r="G94" s="1"/>
      <c r="H94" s="1">
        <f>SUM(OSRRefH22_19x_0)</f>
        <v>2125</v>
      </c>
      <c r="I94" s="1"/>
      <c r="J94" s="5">
        <f t="shared" si="101"/>
        <v>0</v>
      </c>
      <c r="K94" s="1"/>
      <c r="L94" s="1">
        <f t="shared" si="102"/>
        <v>-2125</v>
      </c>
      <c r="M94" s="1"/>
      <c r="N94" s="5">
        <f t="shared" si="103"/>
        <v>-1</v>
      </c>
      <c r="O94" s="14"/>
      <c r="P94" s="1">
        <f>SUM(OSRRefP22_19x_0)</f>
        <v>787.81999999999994</v>
      </c>
      <c r="Q94" s="1"/>
      <c r="R94" s="5">
        <f t="shared" si="104"/>
        <v>0</v>
      </c>
      <c r="S94" s="1"/>
      <c r="T94" s="1">
        <f>SUM(OSRRefT22_19x_0)</f>
        <v>6600</v>
      </c>
      <c r="U94" s="1"/>
      <c r="V94" s="5">
        <f t="shared" si="105"/>
        <v>0</v>
      </c>
      <c r="W94" s="1"/>
      <c r="X94" s="1">
        <f t="shared" si="106"/>
        <v>-5812.18</v>
      </c>
      <c r="Y94" s="1"/>
      <c r="Z94" s="5">
        <f t="shared" si="107"/>
        <v>-0.88063333333333338</v>
      </c>
    </row>
    <row r="95" spans="1:26" s="24" customFormat="1" hidden="1" outlineLevel="2" x14ac:dyDescent="0.25">
      <c r="A95" s="27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100"/>
        <v>0</v>
      </c>
      <c r="G95" s="2"/>
      <c r="H95" s="7">
        <v>625</v>
      </c>
      <c r="I95" s="2"/>
      <c r="J95" s="6">
        <f t="shared" si="101"/>
        <v>0</v>
      </c>
      <c r="K95" s="2"/>
      <c r="L95" s="7">
        <f t="shared" si="102"/>
        <v>-625</v>
      </c>
      <c r="M95" s="2"/>
      <c r="N95" s="6">
        <f t="shared" si="103"/>
        <v>-1</v>
      </c>
      <c r="O95" s="11"/>
      <c r="P95" s="7">
        <v>720</v>
      </c>
      <c r="Q95" s="2"/>
      <c r="R95" s="6">
        <f t="shared" si="104"/>
        <v>0</v>
      </c>
      <c r="S95" s="2"/>
      <c r="T95" s="7">
        <v>5000</v>
      </c>
      <c r="U95" s="2"/>
      <c r="V95" s="6">
        <f t="shared" si="105"/>
        <v>0</v>
      </c>
      <c r="W95" s="2"/>
      <c r="X95" s="7">
        <f t="shared" si="106"/>
        <v>-4280</v>
      </c>
      <c r="Y95" s="2"/>
      <c r="Z95" s="6">
        <f t="shared" si="107"/>
        <v>-0.85599999999999998</v>
      </c>
    </row>
    <row r="96" spans="1:26" s="24" customFormat="1" hidden="1" outlineLevel="2" x14ac:dyDescent="0.25">
      <c r="A96" s="27"/>
      <c r="B96" s="11" t="str">
        <f>CONCATENATE("          ", "6294", " - ", "TRAVEL OPERATIONAL")</f>
        <v xml:space="preserve">          6294 - TRAVEL OPERATIONAL</v>
      </c>
      <c r="C96" s="11"/>
      <c r="D96" s="7"/>
      <c r="E96" s="2"/>
      <c r="F96" s="6">
        <f t="shared" si="100"/>
        <v>0</v>
      </c>
      <c r="G96" s="2"/>
      <c r="H96" s="7">
        <v>1500</v>
      </c>
      <c r="I96" s="2"/>
      <c r="J96" s="6">
        <f t="shared" si="101"/>
        <v>0</v>
      </c>
      <c r="K96" s="2"/>
      <c r="L96" s="7">
        <f t="shared" si="102"/>
        <v>-1500</v>
      </c>
      <c r="M96" s="2"/>
      <c r="N96" s="6">
        <f t="shared" si="103"/>
        <v>-1</v>
      </c>
      <c r="O96" s="11"/>
      <c r="P96" s="7">
        <v>67.819999999999993</v>
      </c>
      <c r="Q96" s="2"/>
      <c r="R96" s="6">
        <f t="shared" si="104"/>
        <v>0</v>
      </c>
      <c r="S96" s="2"/>
      <c r="T96" s="7">
        <v>1600</v>
      </c>
      <c r="U96" s="2"/>
      <c r="V96" s="6">
        <f t="shared" si="105"/>
        <v>0</v>
      </c>
      <c r="W96" s="2"/>
      <c r="X96" s="7">
        <f t="shared" si="106"/>
        <v>-1532.18</v>
      </c>
      <c r="Y96" s="2"/>
      <c r="Z96" s="6">
        <f t="shared" si="107"/>
        <v>-0.95761250000000009</v>
      </c>
    </row>
    <row r="97" spans="1:26" s="58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6" t="s">
        <v>0</v>
      </c>
      <c r="C98" s="10"/>
      <c r="D98" s="4">
        <f>SUM(OSRRefD25x_0)</f>
        <v>0</v>
      </c>
      <c r="E98" s="4"/>
      <c r="F98" s="12">
        <f t="shared" ref="F98:F101" si="108">IF(D$12=0,0,D98/D$12)</f>
        <v>0</v>
      </c>
      <c r="G98" s="4"/>
      <c r="H98" s="4">
        <f>SUM(OSRRefH25x_0)</f>
        <v>0</v>
      </c>
      <c r="I98" s="4"/>
      <c r="J98" s="12">
        <f t="shared" ref="J98:J101" si="109">IF(H$12=0,0,H98/H$12)</f>
        <v>0</v>
      </c>
      <c r="K98" s="4"/>
      <c r="L98" s="4">
        <f t="shared" ref="L98:L101" si="110">+D98-H98</f>
        <v>0</v>
      </c>
      <c r="M98" s="4"/>
      <c r="N98" s="12">
        <f t="shared" ref="N98:N101" si="111">IF(H98=0,0,L98/H98)</f>
        <v>0</v>
      </c>
      <c r="O98" s="10"/>
      <c r="P98" s="4">
        <f>SUM(OSRRefP25x_0)</f>
        <v>0</v>
      </c>
      <c r="Q98" s="4"/>
      <c r="R98" s="12">
        <f t="shared" ref="R98:R101" si="112">IF(P$12=0,0,P98/P$12)</f>
        <v>0</v>
      </c>
      <c r="S98" s="4"/>
      <c r="T98" s="4">
        <f>SUM(OSRRefT25x_0)</f>
        <v>0</v>
      </c>
      <c r="U98" s="4"/>
      <c r="V98" s="12">
        <f t="shared" ref="V98:V101" si="113">IF(T$12=0,0,T98/T$12)</f>
        <v>0</v>
      </c>
      <c r="W98" s="4"/>
      <c r="X98" s="4">
        <f t="shared" ref="X98:X101" si="114">+P98-T98</f>
        <v>0</v>
      </c>
      <c r="Y98" s="4"/>
      <c r="Z98" s="12">
        <f t="shared" ref="Z98:Z101" si="115">IF(T98=0,0,X98/T98)</f>
        <v>0</v>
      </c>
    </row>
    <row r="99" spans="1:26" s="24" customFormat="1" hidden="1" outlineLevel="1" x14ac:dyDescent="0.25">
      <c r="A99" s="51"/>
      <c r="B99" s="11" t="str">
        <f>CONCATENATE("          ", "9150", " - ", "MISC. INCOME")</f>
        <v xml:space="preserve">          9150 - MISC. INCOME</v>
      </c>
      <c r="C99" s="11"/>
      <c r="D99" s="2">
        <f t="shared" ref="D99:D101" si="116">0</f>
        <v>0</v>
      </c>
      <c r="E99" s="2"/>
      <c r="F99" s="22">
        <f t="shared" si="108"/>
        <v>0</v>
      </c>
      <c r="G99" s="2"/>
      <c r="H99" s="2"/>
      <c r="I99" s="2"/>
      <c r="J99" s="22">
        <f t="shared" si="109"/>
        <v>0</v>
      </c>
      <c r="K99" s="2"/>
      <c r="L99" s="2">
        <f t="shared" si="110"/>
        <v>0</v>
      </c>
      <c r="M99" s="2"/>
      <c r="N99" s="22">
        <f t="shared" si="111"/>
        <v>0</v>
      </c>
      <c r="O99" s="11"/>
      <c r="P99" s="2">
        <f t="shared" ref="P99:P101" si="117">0</f>
        <v>0</v>
      </c>
      <c r="Q99" s="2"/>
      <c r="R99" s="22">
        <f t="shared" si="112"/>
        <v>0</v>
      </c>
      <c r="S99" s="2"/>
      <c r="T99" s="2">
        <v>0</v>
      </c>
      <c r="U99" s="2"/>
      <c r="V99" s="22">
        <f t="shared" si="113"/>
        <v>0</v>
      </c>
      <c r="W99" s="2"/>
      <c r="X99" s="2">
        <f t="shared" si="114"/>
        <v>0</v>
      </c>
      <c r="Y99" s="2"/>
      <c r="Z99" s="22">
        <f t="shared" si="115"/>
        <v>0</v>
      </c>
    </row>
    <row r="100" spans="1:26" s="24" customFormat="1" hidden="1" outlineLevel="1" x14ac:dyDescent="0.25">
      <c r="A100" s="51"/>
      <c r="B100" s="11" t="str">
        <f>CONCATENATE("          ", "9151", " - ", "MISC. INCOME")</f>
        <v xml:space="preserve">          9151 - MISC. INCOME</v>
      </c>
      <c r="C100" s="11"/>
      <c r="D100" s="2">
        <f t="shared" si="116"/>
        <v>0</v>
      </c>
      <c r="E100" s="2"/>
      <c r="F100" s="22">
        <f t="shared" si="108"/>
        <v>0</v>
      </c>
      <c r="G100" s="2"/>
      <c r="H100" s="2"/>
      <c r="I100" s="2"/>
      <c r="J100" s="22">
        <f t="shared" si="109"/>
        <v>0</v>
      </c>
      <c r="K100" s="2"/>
      <c r="L100" s="2">
        <f t="shared" si="110"/>
        <v>0</v>
      </c>
      <c r="M100" s="2"/>
      <c r="N100" s="22">
        <f t="shared" si="111"/>
        <v>0</v>
      </c>
      <c r="O100" s="11"/>
      <c r="P100" s="2">
        <f t="shared" si="117"/>
        <v>0</v>
      </c>
      <c r="Q100" s="2"/>
      <c r="R100" s="22">
        <f t="shared" si="112"/>
        <v>0</v>
      </c>
      <c r="S100" s="2"/>
      <c r="T100" s="2">
        <v>0</v>
      </c>
      <c r="U100" s="2"/>
      <c r="V100" s="22">
        <f t="shared" si="113"/>
        <v>0</v>
      </c>
      <c r="W100" s="2"/>
      <c r="X100" s="2">
        <f t="shared" si="114"/>
        <v>0</v>
      </c>
      <c r="Y100" s="2"/>
      <c r="Z100" s="22">
        <f t="shared" si="115"/>
        <v>0</v>
      </c>
    </row>
    <row r="101" spans="1:26" s="24" customFormat="1" hidden="1" outlineLevel="1" x14ac:dyDescent="0.25">
      <c r="A101" s="51"/>
      <c r="B101" s="11" t="str">
        <f>CONCATENATE("          ", "9160", " - ", "MISC. INCOME")</f>
        <v xml:space="preserve">          9160 - MISC. INCOME</v>
      </c>
      <c r="C101" s="11"/>
      <c r="D101" s="2">
        <f t="shared" si="116"/>
        <v>0</v>
      </c>
      <c r="E101" s="2"/>
      <c r="F101" s="22">
        <f t="shared" si="108"/>
        <v>0</v>
      </c>
      <c r="G101" s="2"/>
      <c r="H101" s="2"/>
      <c r="I101" s="2"/>
      <c r="J101" s="22">
        <f t="shared" si="109"/>
        <v>0</v>
      </c>
      <c r="K101" s="2"/>
      <c r="L101" s="2">
        <f t="shared" si="110"/>
        <v>0</v>
      </c>
      <c r="M101" s="2"/>
      <c r="N101" s="22">
        <f t="shared" si="111"/>
        <v>0</v>
      </c>
      <c r="O101" s="11"/>
      <c r="P101" s="2">
        <f t="shared" si="117"/>
        <v>0</v>
      </c>
      <c r="Q101" s="2"/>
      <c r="R101" s="22">
        <f t="shared" si="112"/>
        <v>0</v>
      </c>
      <c r="S101" s="2"/>
      <c r="T101" s="2">
        <v>0</v>
      </c>
      <c r="U101" s="2"/>
      <c r="V101" s="22">
        <f t="shared" si="113"/>
        <v>0</v>
      </c>
      <c r="W101" s="2"/>
      <c r="X101" s="2">
        <f t="shared" si="114"/>
        <v>0</v>
      </c>
      <c r="Y101" s="2"/>
      <c r="Z101" s="22">
        <f t="shared" si="115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5" t="s">
        <v>3</v>
      </c>
      <c r="C103" s="25"/>
      <c r="D103" s="19">
        <f>+D17-D19+D98</f>
        <v>-217201.57</v>
      </c>
      <c r="E103" s="13"/>
      <c r="F103" s="21">
        <f>IF(D$12=0,0,D103/D$12)</f>
        <v>0</v>
      </c>
      <c r="G103" s="13"/>
      <c r="H103" s="19">
        <f>+H17-H19+H98</f>
        <v>-245422.33134153846</v>
      </c>
      <c r="I103" s="13"/>
      <c r="J103" s="21">
        <f>IF(H$12=0,0,H103/H$12)</f>
        <v>0</v>
      </c>
      <c r="K103" s="15"/>
      <c r="L103" s="19">
        <f>+D103-H103</f>
        <v>28220.761341538455</v>
      </c>
      <c r="M103" s="15"/>
      <c r="N103" s="21">
        <f>IF(H103=0,0,L103/H103)</f>
        <v>-0.1149885635397434</v>
      </c>
      <c r="O103" s="26"/>
      <c r="P103" s="19">
        <f>+P17-P19+P98</f>
        <v>-1416230.2300000004</v>
      </c>
      <c r="Q103" s="13"/>
      <c r="R103" s="21">
        <f>IF(P$12=0,0,P103/P$12)</f>
        <v>0</v>
      </c>
      <c r="S103" s="13"/>
      <c r="T103" s="19">
        <f>+T17-T19+T98</f>
        <v>-2162821.7886453848</v>
      </c>
      <c r="U103" s="13"/>
      <c r="V103" s="21">
        <f>IF(T$12=0,0,T103/T$12)</f>
        <v>0</v>
      </c>
      <c r="W103" s="15"/>
      <c r="X103" s="19">
        <f>+P103-T103</f>
        <v>746591.55864538439</v>
      </c>
      <c r="Y103" s="15"/>
      <c r="Z103" s="21">
        <f>IF(T103=0,0,X103/T103)</f>
        <v>-0.34519328525582704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4</v>
      </c>
      <c r="C107" s="25"/>
      <c r="D107" s="34">
        <f>+D103-D105</f>
        <v>-217201.57</v>
      </c>
      <c r="E107" s="13"/>
      <c r="F107" s="30">
        <f>IF(D$12=0,0,D107/D$12)</f>
        <v>0</v>
      </c>
      <c r="G107" s="13"/>
      <c r="H107" s="34">
        <f>+H103-H105</f>
        <v>-245422.33134153846</v>
      </c>
      <c r="I107" s="13"/>
      <c r="J107" s="30">
        <f>IF(H$12=0,0,H107/H$12)</f>
        <v>0</v>
      </c>
      <c r="K107" s="15"/>
      <c r="L107" s="34">
        <f>D107-H107</f>
        <v>28220.761341538455</v>
      </c>
      <c r="M107" s="15"/>
      <c r="N107" s="30">
        <f>IF(H107=0,0,L107/H107)</f>
        <v>-0.1149885635397434</v>
      </c>
      <c r="O107" s="26"/>
      <c r="P107" s="34">
        <f>+P103-P105</f>
        <v>-1416230.2300000004</v>
      </c>
      <c r="Q107" s="13"/>
      <c r="R107" s="30">
        <f>IF(P$12=0,0,P107/P$12)</f>
        <v>0</v>
      </c>
      <c r="S107" s="13"/>
      <c r="T107" s="34">
        <f>+T103-T105</f>
        <v>-2162821.7886453848</v>
      </c>
      <c r="U107" s="13"/>
      <c r="V107" s="30">
        <f>IF(T$12=0,0,T107/T$12)</f>
        <v>0</v>
      </c>
      <c r="W107" s="15"/>
      <c r="X107" s="34">
        <f>P107-T107</f>
        <v>746591.55864538439</v>
      </c>
      <c r="Y107" s="15"/>
      <c r="Z107" s="30">
        <f>IF(T107=0,0,X107/T107)</f>
        <v>-0.34519328525582704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5</v>
      </c>
      <c r="C110" s="25"/>
      <c r="D110" s="35">
        <f>SUM(D107:D109)</f>
        <v>-217201.57</v>
      </c>
      <c r="E110" s="13"/>
      <c r="F110" s="31">
        <f>IF(D$12=0,0,D110/D$12)</f>
        <v>0</v>
      </c>
      <c r="G110" s="13"/>
      <c r="H110" s="35">
        <f>SUM(H107:H109)</f>
        <v>-245422.33134153846</v>
      </c>
      <c r="I110" s="13"/>
      <c r="J110" s="31">
        <f>IF(H$12=0,0,H110/H$12)</f>
        <v>0</v>
      </c>
      <c r="K110" s="15"/>
      <c r="L110" s="35">
        <f>+D110-H110</f>
        <v>28220.761341538455</v>
      </c>
      <c r="M110" s="15"/>
      <c r="N110" s="31">
        <f>IF(H110=0,0,L110/H110)</f>
        <v>-0.1149885635397434</v>
      </c>
      <c r="O110" s="26"/>
      <c r="P110" s="35">
        <f>SUM(P107:P109)</f>
        <v>-1416230.2300000004</v>
      </c>
      <c r="Q110" s="13"/>
      <c r="R110" s="31">
        <f>IF(P$12=0,0,P110/P$12)</f>
        <v>0</v>
      </c>
      <c r="S110" s="13"/>
      <c r="T110" s="35">
        <f>SUM(T107:T109)</f>
        <v>-2162821.7886453848</v>
      </c>
      <c r="U110" s="13"/>
      <c r="V110" s="31">
        <f>IF(T$12=0,0,T110/T$12)</f>
        <v>0</v>
      </c>
      <c r="W110" s="15"/>
      <c r="X110" s="35">
        <f>+P110-T110</f>
        <v>746591.55864538439</v>
      </c>
      <c r="Y110" s="15"/>
      <c r="Z110" s="31">
        <f>IF(T110=0,0,X110/T110)</f>
        <v>-0.34519328525582704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3">
        <v>44267.671291701387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62" t="s">
        <v>314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7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28807.309999999998</v>
      </c>
      <c r="E18" s="20"/>
      <c r="F18" s="33">
        <f t="shared" ref="F18:F29" si="0">IF(D$12=0,0,D18/D$12)</f>
        <v>0</v>
      </c>
      <c r="G18" s="20"/>
      <c r="H18" s="20">
        <f>SUM(OSRRefH22x_0)</f>
        <v>35437</v>
      </c>
      <c r="I18" s="20"/>
      <c r="J18" s="33">
        <f t="shared" ref="J18:J29" si="1">IF(H$12=0,0,H18/H$12)</f>
        <v>0</v>
      </c>
      <c r="K18" s="4"/>
      <c r="L18" s="20">
        <f t="shared" ref="L18:L29" si="2">+D18-H18</f>
        <v>-6629.6900000000023</v>
      </c>
      <c r="M18" s="4"/>
      <c r="N18" s="33">
        <f t="shared" ref="N18:N29" si="3">IF(H18=0,0,L18/H18)</f>
        <v>-0.187083838925417</v>
      </c>
      <c r="O18" s="10"/>
      <c r="P18" s="20">
        <f>SUM(OSRRefP22x_0)</f>
        <v>-110820.37999999998</v>
      </c>
      <c r="Q18" s="20"/>
      <c r="R18" s="33">
        <f t="shared" ref="R18:R29" si="4">IF(P$12=0,0,P18/P$12)</f>
        <v>0</v>
      </c>
      <c r="S18" s="20"/>
      <c r="T18" s="20">
        <f>SUM(OSRRefT22x_0)</f>
        <v>392896</v>
      </c>
      <c r="U18" s="20"/>
      <c r="V18" s="33">
        <f t="shared" ref="V18:V29" si="5">IF(T$12=0,0,T18/T$12)</f>
        <v>0</v>
      </c>
      <c r="W18" s="4"/>
      <c r="X18" s="20">
        <f t="shared" ref="X18:X29" si="6">+P18-T18</f>
        <v>-503716.38</v>
      </c>
      <c r="Y18" s="4"/>
      <c r="Z18" s="33">
        <f t="shared" ref="Z18:Z29" si="7">IF(T18=0,0,X18/T18)</f>
        <v>-1.2820603416680241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28124.68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-3875.3199999999997</v>
      </c>
      <c r="M19" s="1"/>
      <c r="N19" s="5">
        <f t="shared" si="3"/>
        <v>-0.12110375</v>
      </c>
      <c r="O19" s="14"/>
      <c r="P19" s="1">
        <f>SUM(OSRRefP22_0x_0)</f>
        <v>-161067.91999999998</v>
      </c>
      <c r="Q19" s="1"/>
      <c r="R19" s="5">
        <f t="shared" si="4"/>
        <v>0</v>
      </c>
      <c r="S19" s="1"/>
      <c r="T19" s="1">
        <f>SUM(OSRRefT22_0x_0)</f>
        <v>256000</v>
      </c>
      <c r="U19" s="1"/>
      <c r="V19" s="5">
        <f t="shared" si="5"/>
        <v>0</v>
      </c>
      <c r="W19" s="1"/>
      <c r="X19" s="1">
        <f t="shared" si="6"/>
        <v>-417067.92</v>
      </c>
      <c r="Y19" s="1"/>
      <c r="Z19" s="5">
        <f t="shared" si="7"/>
        <v>-1.6291715624999998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28124.68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-3875.3199999999997</v>
      </c>
      <c r="M20" s="2"/>
      <c r="N20" s="6">
        <f t="shared" si="3"/>
        <v>-0.12110375</v>
      </c>
      <c r="O20" s="11"/>
      <c r="P20" s="7">
        <v>-161067.91999999998</v>
      </c>
      <c r="Q20" s="2"/>
      <c r="R20" s="6">
        <f t="shared" si="4"/>
        <v>0</v>
      </c>
      <c r="S20" s="2"/>
      <c r="T20" s="7">
        <v>256000</v>
      </c>
      <c r="U20" s="2"/>
      <c r="V20" s="6">
        <f t="shared" si="5"/>
        <v>0</v>
      </c>
      <c r="W20" s="2"/>
      <c r="X20" s="7">
        <f t="shared" si="6"/>
        <v>-417067.92</v>
      </c>
      <c r="Y20" s="2"/>
      <c r="Z20" s="6">
        <f t="shared" si="7"/>
        <v>-1.6291715624999998</v>
      </c>
    </row>
    <row r="21" spans="1:26" s="28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135.87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-864.13</v>
      </c>
      <c r="M21" s="1"/>
      <c r="N21" s="5">
        <f t="shared" si="3"/>
        <v>-0.86412999999999995</v>
      </c>
      <c r="O21" s="14"/>
      <c r="P21" s="1">
        <f>SUM(OSRRefP22_1x_0)</f>
        <v>5118.54</v>
      </c>
      <c r="Q21" s="1"/>
      <c r="R21" s="5">
        <f t="shared" si="4"/>
        <v>0</v>
      </c>
      <c r="S21" s="1"/>
      <c r="T21" s="1">
        <f>SUM(OSRRefT22_1x_0)</f>
        <v>52000</v>
      </c>
      <c r="U21" s="1"/>
      <c r="V21" s="5">
        <f t="shared" si="5"/>
        <v>0</v>
      </c>
      <c r="W21" s="1"/>
      <c r="X21" s="1">
        <f t="shared" si="6"/>
        <v>-46881.46</v>
      </c>
      <c r="Y21" s="1"/>
      <c r="Z21" s="5">
        <f t="shared" si="7"/>
        <v>-0.90156653846153845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135.87</v>
      </c>
      <c r="E22" s="2"/>
      <c r="F22" s="6">
        <f t="shared" si="0"/>
        <v>0</v>
      </c>
      <c r="G22" s="2"/>
      <c r="H22" s="7">
        <v>1000</v>
      </c>
      <c r="I22" s="2"/>
      <c r="J22" s="6">
        <f t="shared" si="1"/>
        <v>0</v>
      </c>
      <c r="K22" s="2"/>
      <c r="L22" s="7">
        <f t="shared" si="2"/>
        <v>-864.13</v>
      </c>
      <c r="M22" s="2"/>
      <c r="N22" s="6">
        <f t="shared" si="3"/>
        <v>-0.86412999999999995</v>
      </c>
      <c r="O22" s="11"/>
      <c r="P22" s="7">
        <v>5118.54</v>
      </c>
      <c r="Q22" s="2"/>
      <c r="R22" s="6">
        <f t="shared" si="4"/>
        <v>0</v>
      </c>
      <c r="S22" s="2"/>
      <c r="T22" s="7">
        <v>52000</v>
      </c>
      <c r="U22" s="2"/>
      <c r="V22" s="6">
        <f t="shared" si="5"/>
        <v>0</v>
      </c>
      <c r="W22" s="2"/>
      <c r="X22" s="7">
        <f t="shared" si="6"/>
        <v>-46881.46</v>
      </c>
      <c r="Y22" s="2"/>
      <c r="Z22" s="6">
        <f t="shared" si="7"/>
        <v>-0.90156653846153845</v>
      </c>
    </row>
    <row r="23" spans="1:26" s="28" customFormat="1" outlineLevel="1" collapsed="1" x14ac:dyDescent="0.25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546.76</v>
      </c>
      <c r="E23" s="1"/>
      <c r="F23" s="5">
        <f t="shared" si="0"/>
        <v>0</v>
      </c>
      <c r="G23" s="1"/>
      <c r="H23" s="1">
        <f>SUM(OSRRefH22_2x_0)</f>
        <v>2437</v>
      </c>
      <c r="I23" s="1"/>
      <c r="J23" s="5">
        <f t="shared" si="1"/>
        <v>0</v>
      </c>
      <c r="K23" s="1"/>
      <c r="L23" s="1">
        <f t="shared" si="2"/>
        <v>-1890.24</v>
      </c>
      <c r="M23" s="1"/>
      <c r="N23" s="5">
        <f t="shared" si="3"/>
        <v>-0.77564218301189991</v>
      </c>
      <c r="O23" s="14"/>
      <c r="P23" s="1">
        <f>SUM(OSRRefP22_2x_0)</f>
        <v>10146.75</v>
      </c>
      <c r="Q23" s="1"/>
      <c r="R23" s="5">
        <f t="shared" si="4"/>
        <v>0</v>
      </c>
      <c r="S23" s="1"/>
      <c r="T23" s="1">
        <f>SUM(OSRRefT22_2x_0)</f>
        <v>21396</v>
      </c>
      <c r="U23" s="1"/>
      <c r="V23" s="5">
        <f t="shared" si="5"/>
        <v>0</v>
      </c>
      <c r="W23" s="1"/>
      <c r="X23" s="1">
        <f t="shared" si="6"/>
        <v>-11249.25</v>
      </c>
      <c r="Y23" s="1"/>
      <c r="Z23" s="5">
        <f t="shared" si="7"/>
        <v>-0.52576416152551875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7">
        <v>546.76</v>
      </c>
      <c r="E24" s="2"/>
      <c r="F24" s="6">
        <f t="shared" si="0"/>
        <v>0</v>
      </c>
      <c r="G24" s="2"/>
      <c r="H24" s="7">
        <v>2437</v>
      </c>
      <c r="I24" s="2"/>
      <c r="J24" s="6">
        <f t="shared" si="1"/>
        <v>0</v>
      </c>
      <c r="K24" s="2"/>
      <c r="L24" s="7">
        <f t="shared" si="2"/>
        <v>-1890.24</v>
      </c>
      <c r="M24" s="2"/>
      <c r="N24" s="6">
        <f t="shared" si="3"/>
        <v>-0.77564218301189991</v>
      </c>
      <c r="O24" s="11"/>
      <c r="P24" s="7">
        <v>10146.75</v>
      </c>
      <c r="Q24" s="2"/>
      <c r="R24" s="6">
        <f t="shared" si="4"/>
        <v>0</v>
      </c>
      <c r="S24" s="2"/>
      <c r="T24" s="7">
        <v>21396</v>
      </c>
      <c r="U24" s="2"/>
      <c r="V24" s="6">
        <f t="shared" si="5"/>
        <v>0</v>
      </c>
      <c r="W24" s="2"/>
      <c r="X24" s="7">
        <f t="shared" si="6"/>
        <v>-11249.25</v>
      </c>
      <c r="Y24" s="2"/>
      <c r="Z24" s="6">
        <f t="shared" si="7"/>
        <v>-0.52576416152551875</v>
      </c>
    </row>
    <row r="25" spans="1:26" s="28" customFormat="1" outlineLevel="1" collapsed="1" x14ac:dyDescent="0.25">
      <c r="A25" s="29"/>
      <c r="B25" s="14" t="str">
        <f>CONCATENATE("     ","Donations                                         ")</f>
        <v xml:space="preserve">     Donations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5000</v>
      </c>
      <c r="U25" s="1"/>
      <c r="V25" s="5">
        <f t="shared" si="5"/>
        <v>0</v>
      </c>
      <c r="W25" s="1"/>
      <c r="X25" s="1">
        <f t="shared" si="6"/>
        <v>-5000</v>
      </c>
      <c r="Y25" s="1"/>
      <c r="Z25" s="5">
        <f t="shared" si="7"/>
        <v>-1</v>
      </c>
    </row>
    <row r="26" spans="1:26" s="24" customFormat="1" hidden="1" outlineLevel="2" x14ac:dyDescent="0.25">
      <c r="A26" s="27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5000</v>
      </c>
      <c r="U26" s="2"/>
      <c r="V26" s="6">
        <f t="shared" si="5"/>
        <v>0</v>
      </c>
      <c r="W26" s="2"/>
      <c r="X26" s="7">
        <f t="shared" si="6"/>
        <v>-5000</v>
      </c>
      <c r="Y26" s="2"/>
      <c r="Z26" s="6">
        <f t="shared" si="7"/>
        <v>-1</v>
      </c>
    </row>
    <row r="27" spans="1:26" s="28" customFormat="1" outlineLevel="1" collapsed="1" x14ac:dyDescent="0.25">
      <c r="A27" s="29"/>
      <c r="B27" s="14" t="str">
        <f>CONCATENATE("     ","Professional Services                             ")</f>
        <v xml:space="preserve">     Professional Services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34982.25</v>
      </c>
      <c r="Q27" s="1"/>
      <c r="R27" s="5">
        <f t="shared" si="4"/>
        <v>0</v>
      </c>
      <c r="S27" s="1"/>
      <c r="T27" s="1">
        <f>SUM(OSRRefT22_4x_0)</f>
        <v>58500</v>
      </c>
      <c r="U27" s="1"/>
      <c r="V27" s="5">
        <f t="shared" si="5"/>
        <v>0</v>
      </c>
      <c r="W27" s="1"/>
      <c r="X27" s="1">
        <f t="shared" si="6"/>
        <v>-23517.75</v>
      </c>
      <c r="Y27" s="1"/>
      <c r="Z27" s="5">
        <f t="shared" si="7"/>
        <v>-0.4020128205128205</v>
      </c>
    </row>
    <row r="28" spans="1:26" s="24" customFormat="1" hidden="1" outlineLevel="2" x14ac:dyDescent="0.25">
      <c r="A28" s="27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34982.25</v>
      </c>
      <c r="Q28" s="2"/>
      <c r="R28" s="6">
        <f t="shared" si="4"/>
        <v>0</v>
      </c>
      <c r="S28" s="2"/>
      <c r="T28" s="7">
        <v>40500</v>
      </c>
      <c r="U28" s="2"/>
      <c r="V28" s="6">
        <f t="shared" si="5"/>
        <v>0</v>
      </c>
      <c r="W28" s="2"/>
      <c r="X28" s="7">
        <f t="shared" si="6"/>
        <v>-5517.75</v>
      </c>
      <c r="Y28" s="2"/>
      <c r="Z28" s="6">
        <f t="shared" si="7"/>
        <v>-0.13624074074074075</v>
      </c>
    </row>
    <row r="29" spans="1:26" s="24" customFormat="1" hidden="1" outlineLevel="2" x14ac:dyDescent="0.25">
      <c r="A29" s="27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/>
      <c r="Q29" s="2"/>
      <c r="R29" s="6">
        <f t="shared" si="4"/>
        <v>0</v>
      </c>
      <c r="S29" s="2"/>
      <c r="T29" s="7">
        <v>18000</v>
      </c>
      <c r="U29" s="2"/>
      <c r="V29" s="6">
        <f t="shared" si="5"/>
        <v>0</v>
      </c>
      <c r="W29" s="2"/>
      <c r="X29" s="7">
        <f t="shared" si="6"/>
        <v>-18000</v>
      </c>
      <c r="Y29" s="2"/>
      <c r="Z29" s="6">
        <f t="shared" si="7"/>
        <v>-1</v>
      </c>
    </row>
    <row r="30" spans="1:26" s="58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3</v>
      </c>
      <c r="C33" s="25"/>
      <c r="D33" s="19">
        <f>+D16-D18+D31</f>
        <v>-28807.309999999998</v>
      </c>
      <c r="E33" s="13"/>
      <c r="F33" s="21">
        <f>IF(D$12=0,0,D33/D$12)</f>
        <v>0</v>
      </c>
      <c r="G33" s="13"/>
      <c r="H33" s="19">
        <f>+H16-H18+H31</f>
        <v>-35437</v>
      </c>
      <c r="I33" s="13"/>
      <c r="J33" s="21">
        <f>IF(H$12=0,0,H33/H$12)</f>
        <v>0</v>
      </c>
      <c r="K33" s="15"/>
      <c r="L33" s="19">
        <f>+D33-H33</f>
        <v>6629.6900000000023</v>
      </c>
      <c r="M33" s="15"/>
      <c r="N33" s="21">
        <f>IF(H33=0,0,L33/H33)</f>
        <v>-0.187083838925417</v>
      </c>
      <c r="O33" s="26"/>
      <c r="P33" s="19">
        <f>+P16-P18+P31</f>
        <v>110820.37999999998</v>
      </c>
      <c r="Q33" s="13"/>
      <c r="R33" s="21">
        <f>IF(P$12=0,0,P33/P$12)</f>
        <v>0</v>
      </c>
      <c r="S33" s="13"/>
      <c r="T33" s="19">
        <f>+T16-T18+T31</f>
        <v>-392896</v>
      </c>
      <c r="U33" s="13"/>
      <c r="V33" s="21">
        <f>IF(T$12=0,0,T33/T$12)</f>
        <v>0</v>
      </c>
      <c r="W33" s="15"/>
      <c r="X33" s="19">
        <f>+P33-T33</f>
        <v>503716.38</v>
      </c>
      <c r="Y33" s="15"/>
      <c r="Z33" s="21">
        <f>IF(T33=0,0,X33/T33)</f>
        <v>-1.2820603416680241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4</v>
      </c>
      <c r="C37" s="25"/>
      <c r="D37" s="34">
        <f>+D33-D35</f>
        <v>-28807.309999999998</v>
      </c>
      <c r="E37" s="13"/>
      <c r="F37" s="30">
        <f>IF(D$12=0,0,D37/D$12)</f>
        <v>0</v>
      </c>
      <c r="G37" s="13"/>
      <c r="H37" s="34">
        <f>+H33-H35</f>
        <v>-35437</v>
      </c>
      <c r="I37" s="13"/>
      <c r="J37" s="30">
        <f>IF(H$12=0,0,H37/H$12)</f>
        <v>0</v>
      </c>
      <c r="K37" s="15"/>
      <c r="L37" s="34">
        <f>D37-H37</f>
        <v>6629.6900000000023</v>
      </c>
      <c r="M37" s="15"/>
      <c r="N37" s="30">
        <f>IF(H37=0,0,L37/H37)</f>
        <v>-0.187083838925417</v>
      </c>
      <c r="O37" s="26"/>
      <c r="P37" s="34">
        <f>+P33-P35</f>
        <v>110820.37999999998</v>
      </c>
      <c r="Q37" s="13"/>
      <c r="R37" s="30">
        <f>IF(P$12=0,0,P37/P$12)</f>
        <v>0</v>
      </c>
      <c r="S37" s="13"/>
      <c r="T37" s="34">
        <f>+T33-T35</f>
        <v>-392896</v>
      </c>
      <c r="U37" s="13"/>
      <c r="V37" s="30">
        <f>IF(T$12=0,0,T37/T$12)</f>
        <v>0</v>
      </c>
      <c r="W37" s="15"/>
      <c r="X37" s="34">
        <f>P37-T37</f>
        <v>503716.38</v>
      </c>
      <c r="Y37" s="15"/>
      <c r="Z37" s="30">
        <f>IF(T37=0,0,X37/T37)</f>
        <v>-1.2820603416680241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5" t="s">
        <v>5</v>
      </c>
      <c r="C40" s="25"/>
      <c r="D40" s="35">
        <f>SUM(D37:D39)</f>
        <v>-28807.309999999998</v>
      </c>
      <c r="E40" s="13"/>
      <c r="F40" s="31">
        <f>IF(D$12=0,0,D40/D$12)</f>
        <v>0</v>
      </c>
      <c r="G40" s="13"/>
      <c r="H40" s="35">
        <f>SUM(H37:H39)</f>
        <v>-35437</v>
      </c>
      <c r="I40" s="13"/>
      <c r="J40" s="31">
        <f>IF(H$12=0,0,H40/H$12)</f>
        <v>0</v>
      </c>
      <c r="K40" s="15"/>
      <c r="L40" s="35">
        <f>+D40-H40</f>
        <v>6629.6900000000023</v>
      </c>
      <c r="M40" s="15"/>
      <c r="N40" s="31">
        <f>IF(H40=0,0,L40/H40)</f>
        <v>-0.187083838925417</v>
      </c>
      <c r="O40" s="26"/>
      <c r="P40" s="35">
        <f>SUM(P37:P39)</f>
        <v>110820.37999999998</v>
      </c>
      <c r="Q40" s="13"/>
      <c r="R40" s="31">
        <f>IF(P$12=0,0,P40/P$12)</f>
        <v>0</v>
      </c>
      <c r="S40" s="13"/>
      <c r="T40" s="35">
        <f>SUM(T37:T39)</f>
        <v>-392896</v>
      </c>
      <c r="U40" s="13"/>
      <c r="V40" s="31">
        <f>IF(T$12=0,0,T40/T$12)</f>
        <v>0</v>
      </c>
      <c r="W40" s="15"/>
      <c r="X40" s="35">
        <f>+P40-T40</f>
        <v>503716.38</v>
      </c>
      <c r="Y40" s="15"/>
      <c r="Z40" s="31">
        <f>IF(T40=0,0,X40/T40)</f>
        <v>-1.2820603416680241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3">
        <v>44267.671584837961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62" t="s">
        <v>314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7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5"/>
      <c r="L17" s="19">
        <f>+D17-H17</f>
        <v>0</v>
      </c>
      <c r="M17" s="15"/>
      <c r="N17" s="21">
        <f>IF(H17=0,0,L17/H17)</f>
        <v>0</v>
      </c>
      <c r="O17" s="26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5"/>
      <c r="X17" s="19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30894.159999999996</v>
      </c>
      <c r="E19" s="20"/>
      <c r="F19" s="33">
        <f t="shared" ref="F19:F29" si="4">IF(D$12=0,0,D19/D$12)</f>
        <v>0</v>
      </c>
      <c r="G19" s="20"/>
      <c r="H19" s="20">
        <f>SUM(OSRRefH22x_0)</f>
        <v>37668.75790769227</v>
      </c>
      <c r="I19" s="20"/>
      <c r="J19" s="33">
        <f t="shared" ref="J19:J29" si="5">IF(H$12=0,0,H19/H$12)</f>
        <v>0</v>
      </c>
      <c r="K19" s="4"/>
      <c r="L19" s="20">
        <f t="shared" ref="L19:L29" si="6">+D19-H19</f>
        <v>-6774.597907692274</v>
      </c>
      <c r="M19" s="4"/>
      <c r="N19" s="33">
        <f t="shared" ref="N19:N29" si="7">IF(H19=0,0,L19/H19)</f>
        <v>-0.17984659659587143</v>
      </c>
      <c r="O19" s="10"/>
      <c r="P19" s="20">
        <f>SUM(OSRRefP22x_0)</f>
        <v>299121.88</v>
      </c>
      <c r="Q19" s="20"/>
      <c r="R19" s="33">
        <f t="shared" ref="R19:R29" si="8">IF(P$12=0,0,P19/P$12)</f>
        <v>0</v>
      </c>
      <c r="S19" s="20"/>
      <c r="T19" s="20">
        <f>SUM(OSRRefT22x_0)</f>
        <v>378398.91049230745</v>
      </c>
      <c r="U19" s="20"/>
      <c r="V19" s="33">
        <f t="shared" ref="V19:V29" si="9">IF(T$12=0,0,T19/T$12)</f>
        <v>0</v>
      </c>
      <c r="W19" s="4"/>
      <c r="X19" s="20">
        <f t="shared" ref="X19:X29" si="10">+P19-T19</f>
        <v>-79277.030492307444</v>
      </c>
      <c r="Y19" s="4"/>
      <c r="Z19" s="33">
        <f t="shared" ref="Z19:Z29" si="11">IF(T19=0,0,X19/T19)</f>
        <v>-0.20950649775699892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10048.529999999999</v>
      </c>
      <c r="E20" s="1"/>
      <c r="F20" s="5">
        <f t="shared" si="4"/>
        <v>0</v>
      </c>
      <c r="G20" s="1"/>
      <c r="H20" s="1">
        <f>SUM(OSRRefH22_0x_0)</f>
        <v>8675.0656000000054</v>
      </c>
      <c r="I20" s="1"/>
      <c r="J20" s="5">
        <f t="shared" si="5"/>
        <v>0</v>
      </c>
      <c r="K20" s="1"/>
      <c r="L20" s="1">
        <f t="shared" si="6"/>
        <v>1373.4643999999935</v>
      </c>
      <c r="M20" s="1"/>
      <c r="N20" s="5">
        <f t="shared" si="7"/>
        <v>0.15832322927909531</v>
      </c>
      <c r="O20" s="14"/>
      <c r="P20" s="1">
        <f>SUM(OSRRefP22_0x_0)</f>
        <v>86250.530000000013</v>
      </c>
      <c r="Q20" s="1"/>
      <c r="R20" s="5">
        <f t="shared" si="8"/>
        <v>0</v>
      </c>
      <c r="S20" s="1"/>
      <c r="T20" s="1">
        <f>SUM(OSRRefT22_0x_0)</f>
        <v>71578.602800000022</v>
      </c>
      <c r="U20" s="1"/>
      <c r="V20" s="5">
        <f t="shared" si="9"/>
        <v>0</v>
      </c>
      <c r="W20" s="1"/>
      <c r="X20" s="1">
        <f t="shared" si="10"/>
        <v>14671.927199999991</v>
      </c>
      <c r="Y20" s="1"/>
      <c r="Z20" s="5">
        <f t="shared" si="11"/>
        <v>0.20497644024982262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1454.4</v>
      </c>
      <c r="E21" s="2"/>
      <c r="F21" s="6">
        <f t="shared" si="4"/>
        <v>0</v>
      </c>
      <c r="G21" s="2"/>
      <c r="H21" s="7">
        <v>1522.1228307692299</v>
      </c>
      <c r="I21" s="2"/>
      <c r="J21" s="6">
        <f t="shared" si="5"/>
        <v>0</v>
      </c>
      <c r="K21" s="2"/>
      <c r="L21" s="7">
        <f t="shared" si="6"/>
        <v>-67.722830769229859</v>
      </c>
      <c r="M21" s="2"/>
      <c r="N21" s="6">
        <f t="shared" si="7"/>
        <v>-4.4492355938846935E-2</v>
      </c>
      <c r="O21" s="11"/>
      <c r="P21" s="7">
        <v>9742.51</v>
      </c>
      <c r="Q21" s="2"/>
      <c r="R21" s="6">
        <f t="shared" si="8"/>
        <v>0</v>
      </c>
      <c r="S21" s="2"/>
      <c r="T21" s="7">
        <v>13040.005569230769</v>
      </c>
      <c r="U21" s="2"/>
      <c r="V21" s="6">
        <f t="shared" si="9"/>
        <v>0</v>
      </c>
      <c r="W21" s="2"/>
      <c r="X21" s="7">
        <f t="shared" si="10"/>
        <v>-3297.4955692307685</v>
      </c>
      <c r="Y21" s="2"/>
      <c r="Z21" s="6">
        <f t="shared" si="11"/>
        <v>-0.25287531908817185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62.74</v>
      </c>
      <c r="E22" s="2"/>
      <c r="F22" s="6">
        <f t="shared" si="4"/>
        <v>0</v>
      </c>
      <c r="G22" s="2"/>
      <c r="H22" s="7">
        <v>61.938461538461596</v>
      </c>
      <c r="I22" s="2"/>
      <c r="J22" s="6">
        <f t="shared" si="5"/>
        <v>0</v>
      </c>
      <c r="K22" s="2"/>
      <c r="L22" s="7">
        <f t="shared" si="6"/>
        <v>0.80153846153840647</v>
      </c>
      <c r="M22" s="2"/>
      <c r="N22" s="6">
        <f t="shared" si="7"/>
        <v>1.294088425235876E-2</v>
      </c>
      <c r="O22" s="11"/>
      <c r="P22" s="7">
        <v>631.33000000000004</v>
      </c>
      <c r="Q22" s="2"/>
      <c r="R22" s="6">
        <f t="shared" si="8"/>
        <v>0</v>
      </c>
      <c r="S22" s="2"/>
      <c r="T22" s="7">
        <v>541.96153846153868</v>
      </c>
      <c r="U22" s="2"/>
      <c r="V22" s="6">
        <f t="shared" si="9"/>
        <v>0</v>
      </c>
      <c r="W22" s="2"/>
      <c r="X22" s="7">
        <f t="shared" si="10"/>
        <v>89.368461538461361</v>
      </c>
      <c r="Y22" s="2"/>
      <c r="Z22" s="6">
        <f t="shared" si="11"/>
        <v>0.16489816194734189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3917.15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552.15000000000009</v>
      </c>
      <c r="M23" s="2"/>
      <c r="N23" s="6">
        <f t="shared" si="7"/>
        <v>0.16408618127786034</v>
      </c>
      <c r="O23" s="11"/>
      <c r="P23" s="7">
        <v>32048.220000000005</v>
      </c>
      <c r="Q23" s="2"/>
      <c r="R23" s="6">
        <f t="shared" si="8"/>
        <v>0</v>
      </c>
      <c r="S23" s="2"/>
      <c r="T23" s="7">
        <v>26920</v>
      </c>
      <c r="U23" s="2"/>
      <c r="V23" s="6">
        <f t="shared" si="9"/>
        <v>0</v>
      </c>
      <c r="W23" s="2"/>
      <c r="X23" s="7">
        <f t="shared" si="10"/>
        <v>5128.2200000000048</v>
      </c>
      <c r="Y23" s="2"/>
      <c r="Z23" s="6">
        <f t="shared" si="11"/>
        <v>0.19049851411589913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49.43</v>
      </c>
      <c r="E24" s="2"/>
      <c r="F24" s="6">
        <f t="shared" si="4"/>
        <v>0</v>
      </c>
      <c r="G24" s="2"/>
      <c r="H24" s="7">
        <v>51.712000000000003</v>
      </c>
      <c r="I24" s="2"/>
      <c r="J24" s="6">
        <f t="shared" si="5"/>
        <v>0</v>
      </c>
      <c r="K24" s="2"/>
      <c r="L24" s="7">
        <f t="shared" si="6"/>
        <v>-2.2820000000000036</v>
      </c>
      <c r="M24" s="2"/>
      <c r="N24" s="6">
        <f t="shared" si="7"/>
        <v>-4.4129022277227786E-2</v>
      </c>
      <c r="O24" s="11"/>
      <c r="P24" s="7">
        <v>497.42</v>
      </c>
      <c r="Q24" s="2"/>
      <c r="R24" s="6">
        <f t="shared" si="8"/>
        <v>0</v>
      </c>
      <c r="S24" s="2"/>
      <c r="T24" s="7">
        <v>445.928</v>
      </c>
      <c r="U24" s="2"/>
      <c r="V24" s="6">
        <f t="shared" si="9"/>
        <v>0</v>
      </c>
      <c r="W24" s="2"/>
      <c r="X24" s="7">
        <f t="shared" si="10"/>
        <v>51.492000000000019</v>
      </c>
      <c r="Y24" s="2"/>
      <c r="Z24" s="6">
        <f t="shared" si="11"/>
        <v>0.11547155594625146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1614.1538461538501</v>
      </c>
      <c r="I25" s="2"/>
      <c r="J25" s="6">
        <f t="shared" si="5"/>
        <v>0</v>
      </c>
      <c r="K25" s="2"/>
      <c r="L25" s="7">
        <f t="shared" si="6"/>
        <v>434.87615384615015</v>
      </c>
      <c r="M25" s="2"/>
      <c r="N25" s="6">
        <f t="shared" si="7"/>
        <v>0.26941431566907825</v>
      </c>
      <c r="O25" s="11"/>
      <c r="P25" s="7">
        <v>21616.59</v>
      </c>
      <c r="Q25" s="2"/>
      <c r="R25" s="6">
        <f t="shared" si="8"/>
        <v>0</v>
      </c>
      <c r="S25" s="2"/>
      <c r="T25" s="7">
        <v>14123.84615384618</v>
      </c>
      <c r="U25" s="2"/>
      <c r="V25" s="6">
        <f t="shared" si="9"/>
        <v>0</v>
      </c>
      <c r="W25" s="2"/>
      <c r="X25" s="7">
        <f t="shared" si="10"/>
        <v>7492.7438461538204</v>
      </c>
      <c r="Y25" s="2"/>
      <c r="Z25" s="6">
        <f t="shared" si="11"/>
        <v>0.53050307717444301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1658.98</v>
      </c>
      <c r="E27" s="2"/>
      <c r="F27" s="6">
        <f t="shared" si="4"/>
        <v>0</v>
      </c>
      <c r="G27" s="2"/>
      <c r="H27" s="7">
        <v>938.46153846153913</v>
      </c>
      <c r="I27" s="2"/>
      <c r="J27" s="6">
        <f t="shared" si="5"/>
        <v>0</v>
      </c>
      <c r="K27" s="2"/>
      <c r="L27" s="7">
        <f t="shared" si="6"/>
        <v>720.51846153846088</v>
      </c>
      <c r="M27" s="2"/>
      <c r="N27" s="6">
        <f t="shared" si="7"/>
        <v>0.76776557377049059</v>
      </c>
      <c r="O27" s="11"/>
      <c r="P27" s="7">
        <v>14101.33</v>
      </c>
      <c r="Q27" s="2"/>
      <c r="R27" s="6">
        <f t="shared" si="8"/>
        <v>0</v>
      </c>
      <c r="S27" s="2"/>
      <c r="T27" s="7">
        <v>8211.5384615384555</v>
      </c>
      <c r="U27" s="2"/>
      <c r="V27" s="6">
        <f t="shared" si="9"/>
        <v>0</v>
      </c>
      <c r="W27" s="2"/>
      <c r="X27" s="7">
        <f t="shared" si="10"/>
        <v>5889.7915384615444</v>
      </c>
      <c r="Y27" s="2"/>
      <c r="Z27" s="6">
        <f t="shared" si="11"/>
        <v>0.717257985948479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856.8</v>
      </c>
      <c r="E28" s="2"/>
      <c r="F28" s="6">
        <f t="shared" si="4"/>
        <v>0</v>
      </c>
      <c r="G28" s="2"/>
      <c r="H28" s="7">
        <v>596.676923076923</v>
      </c>
      <c r="I28" s="2"/>
      <c r="J28" s="6">
        <f t="shared" si="5"/>
        <v>0</v>
      </c>
      <c r="K28" s="2"/>
      <c r="L28" s="7">
        <f t="shared" si="6"/>
        <v>260.12307692307695</v>
      </c>
      <c r="M28" s="2"/>
      <c r="N28" s="6">
        <f t="shared" si="7"/>
        <v>0.43595297029702978</v>
      </c>
      <c r="O28" s="11"/>
      <c r="P28" s="7">
        <v>7282.8</v>
      </c>
      <c r="Q28" s="2"/>
      <c r="R28" s="6">
        <f t="shared" si="8"/>
        <v>0</v>
      </c>
      <c r="S28" s="2"/>
      <c r="T28" s="7">
        <v>5145.3230769230777</v>
      </c>
      <c r="U28" s="2"/>
      <c r="V28" s="6">
        <f t="shared" si="9"/>
        <v>0</v>
      </c>
      <c r="W28" s="2"/>
      <c r="X28" s="7">
        <f t="shared" si="10"/>
        <v>2137.4769230769225</v>
      </c>
      <c r="Y28" s="2"/>
      <c r="Z28" s="6">
        <f t="shared" si="11"/>
        <v>0.41542132362175044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525</v>
      </c>
      <c r="I29" s="2"/>
      <c r="J29" s="6">
        <f t="shared" si="5"/>
        <v>0</v>
      </c>
      <c r="K29" s="2"/>
      <c r="L29" s="7">
        <f t="shared" si="6"/>
        <v>-525</v>
      </c>
      <c r="M29" s="2"/>
      <c r="N29" s="6">
        <f t="shared" si="7"/>
        <v>-1</v>
      </c>
      <c r="O29" s="11"/>
      <c r="P29" s="7">
        <v>330.33</v>
      </c>
      <c r="Q29" s="2"/>
      <c r="R29" s="6">
        <f t="shared" si="8"/>
        <v>0</v>
      </c>
      <c r="S29" s="2"/>
      <c r="T29" s="7">
        <v>3150</v>
      </c>
      <c r="U29" s="2"/>
      <c r="V29" s="6">
        <f t="shared" si="9"/>
        <v>0</v>
      </c>
      <c r="W29" s="2"/>
      <c r="X29" s="7">
        <f t="shared" si="10"/>
        <v>-2819.67</v>
      </c>
      <c r="Y29" s="2"/>
      <c r="Z29" s="6">
        <f t="shared" si="11"/>
        <v>-0.89513333333333334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19111.760000000002</v>
      </c>
      <c r="E30" s="1"/>
      <c r="F30" s="5">
        <f t="shared" ref="F30:F40" si="12">IF(D$12=0,0,D30/D$12)</f>
        <v>0</v>
      </c>
      <c r="G30" s="1"/>
      <c r="H30" s="1">
        <f>SUM(OSRRefH22_1x_0)</f>
        <v>18387.692307692269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724.06769230773352</v>
      </c>
      <c r="M30" s="1"/>
      <c r="N30" s="5">
        <f t="shared" ref="N30:N40" si="15">IF(H30=0,0,L30/H30)</f>
        <v>3.937784471218439E-2</v>
      </c>
      <c r="O30" s="14"/>
      <c r="P30" s="1">
        <f>SUM(OSRRefP22_1x_0)</f>
        <v>110098.47</v>
      </c>
      <c r="Q30" s="1"/>
      <c r="R30" s="5">
        <f t="shared" ref="R30:R40" si="16">IF(P$12=0,0,P30/P$12)</f>
        <v>0</v>
      </c>
      <c r="S30" s="1"/>
      <c r="T30" s="1">
        <f>SUM(OSRRefT22_1x_0)</f>
        <v>158372.30769230745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-48273.837692307454</v>
      </c>
      <c r="Y30" s="1"/>
      <c r="Z30" s="5">
        <f t="shared" ref="Z30:Z40" si="19">IF(T30=0,0,X30/T30)</f>
        <v>-0.30481236521536292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14215.28</v>
      </c>
      <c r="E31" s="2"/>
      <c r="F31" s="6">
        <f t="shared" si="12"/>
        <v>0</v>
      </c>
      <c r="G31" s="2"/>
      <c r="H31" s="7">
        <v>12738.461538461499</v>
      </c>
      <c r="I31" s="2"/>
      <c r="J31" s="6">
        <f t="shared" si="13"/>
        <v>0</v>
      </c>
      <c r="K31" s="2"/>
      <c r="L31" s="7">
        <f t="shared" si="14"/>
        <v>1476.8184615385017</v>
      </c>
      <c r="M31" s="2"/>
      <c r="N31" s="6">
        <f t="shared" si="15"/>
        <v>0.11593381642512428</v>
      </c>
      <c r="O31" s="11"/>
      <c r="P31" s="7">
        <v>118974.81</v>
      </c>
      <c r="Q31" s="2"/>
      <c r="R31" s="6">
        <f t="shared" si="16"/>
        <v>0</v>
      </c>
      <c r="S31" s="2"/>
      <c r="T31" s="7">
        <v>111461.53846153821</v>
      </c>
      <c r="U31" s="2"/>
      <c r="V31" s="6">
        <f t="shared" si="17"/>
        <v>0</v>
      </c>
      <c r="W31" s="2"/>
      <c r="X31" s="7">
        <f t="shared" si="18"/>
        <v>7513.2715384617914</v>
      </c>
      <c r="Y31" s="2"/>
      <c r="Z31" s="6">
        <f t="shared" si="19"/>
        <v>6.7406853002072817E-2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4896.4799999999996</v>
      </c>
      <c r="E32" s="2"/>
      <c r="F32" s="6">
        <f t="shared" si="12"/>
        <v>0</v>
      </c>
      <c r="G32" s="2"/>
      <c r="H32" s="7">
        <v>4529.2307692307704</v>
      </c>
      <c r="I32" s="2"/>
      <c r="J32" s="6">
        <f t="shared" si="13"/>
        <v>0</v>
      </c>
      <c r="K32" s="2"/>
      <c r="L32" s="7">
        <f t="shared" si="14"/>
        <v>367.24923076922914</v>
      </c>
      <c r="M32" s="2"/>
      <c r="N32" s="6">
        <f t="shared" si="15"/>
        <v>8.1084239130434402E-2</v>
      </c>
      <c r="O32" s="11"/>
      <c r="P32" s="7">
        <v>36080.950000000004</v>
      </c>
      <c r="Q32" s="2"/>
      <c r="R32" s="6">
        <f t="shared" si="16"/>
        <v>0</v>
      </c>
      <c r="S32" s="2"/>
      <c r="T32" s="7">
        <v>39630.769230769234</v>
      </c>
      <c r="U32" s="2"/>
      <c r="V32" s="6">
        <f t="shared" si="17"/>
        <v>0</v>
      </c>
      <c r="W32" s="2"/>
      <c r="X32" s="7">
        <f t="shared" si="18"/>
        <v>-3549.8192307692298</v>
      </c>
      <c r="Y32" s="2"/>
      <c r="Z32" s="6">
        <f t="shared" si="19"/>
        <v>-8.9572302018633504E-2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1120</v>
      </c>
      <c r="I37" s="2"/>
      <c r="J37" s="6">
        <f t="shared" si="13"/>
        <v>0</v>
      </c>
      <c r="K37" s="2"/>
      <c r="L37" s="7">
        <f t="shared" si="14"/>
        <v>-1120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6160</v>
      </c>
      <c r="U37" s="2"/>
      <c r="V37" s="6">
        <f t="shared" si="17"/>
        <v>0</v>
      </c>
      <c r="W37" s="2"/>
      <c r="X37" s="7">
        <f t="shared" si="18"/>
        <v>-51117.29</v>
      </c>
      <c r="Y37" s="2"/>
      <c r="Z37" s="6">
        <f t="shared" si="19"/>
        <v>-8.2982613636363638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0">IF(D$12=0,0,D41/D$12)</f>
        <v>0</v>
      </c>
      <c r="G41" s="1"/>
      <c r="H41" s="1">
        <f>SUM(OSRRefH22_2x_0)</f>
        <v>500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-500</v>
      </c>
      <c r="M41" s="1"/>
      <c r="N41" s="5">
        <f t="shared" ref="N41:N47" si="23">IF(H41=0,0,L41/H41)</f>
        <v>-1</v>
      </c>
      <c r="O41" s="14"/>
      <c r="P41" s="1">
        <f>SUM(OSRRefP22_2x_0)</f>
        <v>66.8</v>
      </c>
      <c r="Q41" s="1"/>
      <c r="R41" s="5">
        <f t="shared" ref="R41:R47" si="24">IF(P$12=0,0,P41/P$12)</f>
        <v>0</v>
      </c>
      <c r="S41" s="1"/>
      <c r="T41" s="1">
        <f>SUM(OSRRefT22_2x_0)</f>
        <v>4000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-3933.2</v>
      </c>
      <c r="Y41" s="1"/>
      <c r="Z41" s="5">
        <f t="shared" ref="Z41:Z47" si="27">IF(T41=0,0,X41/T41)</f>
        <v>-0.98329999999999995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-500</v>
      </c>
      <c r="M42" s="2"/>
      <c r="N42" s="6">
        <f t="shared" si="23"/>
        <v>-1</v>
      </c>
      <c r="O42" s="11"/>
      <c r="P42" s="7">
        <v>66.8</v>
      </c>
      <c r="Q42" s="2"/>
      <c r="R42" s="6">
        <f t="shared" si="24"/>
        <v>0</v>
      </c>
      <c r="S42" s="2"/>
      <c r="T42" s="7">
        <v>4000</v>
      </c>
      <c r="U42" s="2"/>
      <c r="V42" s="6">
        <f t="shared" si="25"/>
        <v>0</v>
      </c>
      <c r="W42" s="2"/>
      <c r="X42" s="7">
        <f t="shared" si="26"/>
        <v>-3933.2</v>
      </c>
      <c r="Y42" s="2"/>
      <c r="Z42" s="6">
        <f t="shared" si="27"/>
        <v>-0.98329999999999995</v>
      </c>
    </row>
    <row r="43" spans="1:26" s="28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2518.96</v>
      </c>
      <c r="Q43" s="1"/>
      <c r="R43" s="5">
        <f t="shared" si="24"/>
        <v>0</v>
      </c>
      <c r="S43" s="1"/>
      <c r="T43" s="1">
        <f>SUM(OSRRefT22_3x_0)</f>
        <v>2520</v>
      </c>
      <c r="U43" s="1"/>
      <c r="V43" s="5">
        <f t="shared" si="25"/>
        <v>0</v>
      </c>
      <c r="W43" s="1"/>
      <c r="X43" s="1">
        <f t="shared" si="26"/>
        <v>-1.0399999999999636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2518.96</v>
      </c>
      <c r="Q44" s="2"/>
      <c r="R44" s="6">
        <f t="shared" si="24"/>
        <v>0</v>
      </c>
      <c r="S44" s="2"/>
      <c r="T44" s="7">
        <v>2520</v>
      </c>
      <c r="U44" s="2"/>
      <c r="V44" s="6">
        <f t="shared" si="25"/>
        <v>0</v>
      </c>
      <c r="W44" s="2"/>
      <c r="X44" s="7">
        <f t="shared" si="26"/>
        <v>-1.0399999999999636</v>
      </c>
      <c r="Y44" s="2"/>
      <c r="Z44" s="6">
        <f t="shared" si="27"/>
        <v>-4.1269841269839827E-4</v>
      </c>
    </row>
    <row r="45" spans="1:26" s="28" customFormat="1" outlineLevel="1" collapsed="1" x14ac:dyDescent="0.25">
      <c r="A45" s="29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2500</v>
      </c>
      <c r="I45" s="1"/>
      <c r="J45" s="5">
        <f t="shared" si="21"/>
        <v>0</v>
      </c>
      <c r="K45" s="1"/>
      <c r="L45" s="1">
        <f t="shared" si="22"/>
        <v>-2500</v>
      </c>
      <c r="M45" s="1"/>
      <c r="N45" s="5">
        <f t="shared" si="23"/>
        <v>-1</v>
      </c>
      <c r="O45" s="14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37750</v>
      </c>
      <c r="U45" s="1"/>
      <c r="V45" s="5">
        <f t="shared" si="25"/>
        <v>0</v>
      </c>
      <c r="W45" s="1"/>
      <c r="X45" s="1">
        <f t="shared" si="26"/>
        <v>-12750</v>
      </c>
      <c r="Y45" s="1"/>
      <c r="Z45" s="5">
        <f t="shared" si="27"/>
        <v>-0.33774834437086093</v>
      </c>
    </row>
    <row r="46" spans="1:26" s="24" customFormat="1" hidden="1" outlineLevel="2" x14ac:dyDescent="0.25">
      <c r="A46" s="27"/>
      <c r="B46" s="11" t="str">
        <f>CONCATENATE("          ", "6395", " - ", "DONATION-OFF CAMPUS")</f>
        <v xml:space="preserve">          6395 - DONATION-OFF CAMPUS</v>
      </c>
      <c r="C46" s="11"/>
      <c r="D46" s="7"/>
      <c r="E46" s="2"/>
      <c r="F46" s="6">
        <f t="shared" si="20"/>
        <v>0</v>
      </c>
      <c r="G46" s="2"/>
      <c r="H46" s="7">
        <v>1500</v>
      </c>
      <c r="I46" s="2"/>
      <c r="J46" s="6">
        <f t="shared" si="21"/>
        <v>0</v>
      </c>
      <c r="K46" s="2"/>
      <c r="L46" s="7">
        <f t="shared" si="22"/>
        <v>-1500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1500</v>
      </c>
      <c r="U46" s="2"/>
      <c r="V46" s="6">
        <f t="shared" si="25"/>
        <v>0</v>
      </c>
      <c r="W46" s="2"/>
      <c r="X46" s="7">
        <f t="shared" si="26"/>
        <v>-1500</v>
      </c>
      <c r="Y46" s="2"/>
      <c r="Z46" s="6">
        <f t="shared" si="27"/>
        <v>-1</v>
      </c>
    </row>
    <row r="47" spans="1:26" s="24" customFormat="1" hidden="1" outlineLevel="2" x14ac:dyDescent="0.25">
      <c r="A47" s="27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20"/>
        <v>0</v>
      </c>
      <c r="G47" s="2"/>
      <c r="H47" s="7">
        <v>1000</v>
      </c>
      <c r="I47" s="2"/>
      <c r="J47" s="6">
        <f t="shared" si="21"/>
        <v>0</v>
      </c>
      <c r="K47" s="2"/>
      <c r="L47" s="7">
        <f t="shared" si="22"/>
        <v>-1000</v>
      </c>
      <c r="M47" s="2"/>
      <c r="N47" s="6">
        <f t="shared" si="23"/>
        <v>-1</v>
      </c>
      <c r="O47" s="11"/>
      <c r="P47" s="7">
        <v>25000</v>
      </c>
      <c r="Q47" s="2"/>
      <c r="R47" s="6">
        <f t="shared" si="24"/>
        <v>0</v>
      </c>
      <c r="S47" s="2"/>
      <c r="T47" s="7">
        <v>36250</v>
      </c>
      <c r="U47" s="2"/>
      <c r="V47" s="6">
        <f t="shared" si="25"/>
        <v>0</v>
      </c>
      <c r="W47" s="2"/>
      <c r="X47" s="7">
        <f t="shared" si="26"/>
        <v>-11250</v>
      </c>
      <c r="Y47" s="2"/>
      <c r="Z47" s="6">
        <f t="shared" si="27"/>
        <v>-0.31034482758620691</v>
      </c>
    </row>
    <row r="48" spans="1:26" s="28" customFormat="1" outlineLevel="1" collapsed="1" x14ac:dyDescent="0.25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61" si="28">IF(D$12=0,0,D48/D$12)</f>
        <v>0</v>
      </c>
      <c r="G48" s="1"/>
      <c r="H48" s="1">
        <f>SUM(OSRRefH22_5x_0)</f>
        <v>0</v>
      </c>
      <c r="I48" s="1"/>
      <c r="J48" s="5">
        <f t="shared" ref="J48:J61" si="29">IF(H$12=0,0,H48/H$12)</f>
        <v>0</v>
      </c>
      <c r="K48" s="1"/>
      <c r="L48" s="1">
        <f t="shared" ref="L48:L61" si="30">+D48-H48</f>
        <v>0</v>
      </c>
      <c r="M48" s="1"/>
      <c r="N48" s="5">
        <f t="shared" ref="N48:N61" si="31">IF(H48=0,0,L48/H48)</f>
        <v>0</v>
      </c>
      <c r="O48" s="14"/>
      <c r="P48" s="1">
        <f>SUM(OSRRefP22_5x_0)</f>
        <v>0</v>
      </c>
      <c r="Q48" s="1"/>
      <c r="R48" s="5">
        <f t="shared" ref="R48:R61" si="32">IF(P$12=0,0,P48/P$12)</f>
        <v>0</v>
      </c>
      <c r="S48" s="1"/>
      <c r="T48" s="1">
        <f>SUM(OSRRefT22_5x_0)</f>
        <v>3000</v>
      </c>
      <c r="U48" s="1"/>
      <c r="V48" s="5">
        <f t="shared" ref="V48:V61" si="33">IF(T$12=0,0,T48/T$12)</f>
        <v>0</v>
      </c>
      <c r="W48" s="1"/>
      <c r="X48" s="1">
        <f t="shared" ref="X48:X61" si="34">+P48-T48</f>
        <v>-3000</v>
      </c>
      <c r="Y48" s="1"/>
      <c r="Z48" s="5">
        <f t="shared" ref="Z48:Z61" si="35">IF(T48=0,0,X48/T48)</f>
        <v>-1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3000</v>
      </c>
      <c r="U49" s="2"/>
      <c r="V49" s="6">
        <f t="shared" si="33"/>
        <v>0</v>
      </c>
      <c r="W49" s="2"/>
      <c r="X49" s="7">
        <f t="shared" si="34"/>
        <v>-3000</v>
      </c>
      <c r="Y49" s="2"/>
      <c r="Z49" s="6">
        <f t="shared" si="35"/>
        <v>-1</v>
      </c>
    </row>
    <row r="50" spans="1:26" s="28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117.71</v>
      </c>
      <c r="E50" s="1"/>
      <c r="F50" s="5">
        <f t="shared" si="28"/>
        <v>0</v>
      </c>
      <c r="G50" s="1"/>
      <c r="H50" s="1">
        <f>SUM(OSRRefH22_6x_0)</f>
        <v>118</v>
      </c>
      <c r="I50" s="1"/>
      <c r="J50" s="5">
        <f t="shared" si="29"/>
        <v>0</v>
      </c>
      <c r="K50" s="1"/>
      <c r="L50" s="1">
        <f t="shared" si="30"/>
        <v>-0.29000000000000625</v>
      </c>
      <c r="M50" s="1"/>
      <c r="N50" s="5">
        <f t="shared" si="31"/>
        <v>-2.457627118644121E-3</v>
      </c>
      <c r="O50" s="14"/>
      <c r="P50" s="1">
        <f>SUM(OSRRefP22_6x_0)</f>
        <v>941.68</v>
      </c>
      <c r="Q50" s="1"/>
      <c r="R50" s="5">
        <f t="shared" si="32"/>
        <v>0</v>
      </c>
      <c r="S50" s="1"/>
      <c r="T50" s="1">
        <f>SUM(OSRRefT22_6x_0)</f>
        <v>944</v>
      </c>
      <c r="U50" s="1"/>
      <c r="V50" s="5">
        <f t="shared" si="33"/>
        <v>0</v>
      </c>
      <c r="W50" s="1"/>
      <c r="X50" s="1">
        <f t="shared" si="34"/>
        <v>-2.32000000000005</v>
      </c>
      <c r="Y50" s="1"/>
      <c r="Z50" s="5">
        <f t="shared" si="35"/>
        <v>-2.457627118644121E-3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117.71</v>
      </c>
      <c r="E51" s="2"/>
      <c r="F51" s="6">
        <f t="shared" si="28"/>
        <v>0</v>
      </c>
      <c r="G51" s="2"/>
      <c r="H51" s="7">
        <v>118</v>
      </c>
      <c r="I51" s="2"/>
      <c r="J51" s="6">
        <f t="shared" si="29"/>
        <v>0</v>
      </c>
      <c r="K51" s="2"/>
      <c r="L51" s="7">
        <f t="shared" si="30"/>
        <v>-0.29000000000000625</v>
      </c>
      <c r="M51" s="2"/>
      <c r="N51" s="6">
        <f t="shared" si="31"/>
        <v>-2.457627118644121E-3</v>
      </c>
      <c r="O51" s="11"/>
      <c r="P51" s="7">
        <v>941.68</v>
      </c>
      <c r="Q51" s="2"/>
      <c r="R51" s="6">
        <f t="shared" si="32"/>
        <v>0</v>
      </c>
      <c r="S51" s="2"/>
      <c r="T51" s="7">
        <v>944</v>
      </c>
      <c r="U51" s="2"/>
      <c r="V51" s="6">
        <f t="shared" si="33"/>
        <v>0</v>
      </c>
      <c r="W51" s="2"/>
      <c r="X51" s="7">
        <f t="shared" si="34"/>
        <v>-2.32000000000005</v>
      </c>
      <c r="Y51" s="2"/>
      <c r="Z51" s="6">
        <f t="shared" si="35"/>
        <v>-2.457627118644121E-3</v>
      </c>
    </row>
    <row r="52" spans="1:26" s="28" customFormat="1" outlineLevel="1" collapsed="1" x14ac:dyDescent="0.25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15</v>
      </c>
      <c r="I52" s="1"/>
      <c r="J52" s="5">
        <f t="shared" si="29"/>
        <v>0</v>
      </c>
      <c r="K52" s="1"/>
      <c r="L52" s="1">
        <f t="shared" si="30"/>
        <v>-15</v>
      </c>
      <c r="M52" s="1"/>
      <c r="N52" s="5">
        <f t="shared" si="31"/>
        <v>-1</v>
      </c>
      <c r="O52" s="14"/>
      <c r="P52" s="1">
        <f>SUM(OSRRefP22_7x_0)</f>
        <v>65.06</v>
      </c>
      <c r="Q52" s="1"/>
      <c r="R52" s="5">
        <f t="shared" si="32"/>
        <v>0</v>
      </c>
      <c r="S52" s="1"/>
      <c r="T52" s="1">
        <f>SUM(OSRRefT22_7x_0)</f>
        <v>120</v>
      </c>
      <c r="U52" s="1"/>
      <c r="V52" s="5">
        <f t="shared" si="33"/>
        <v>0</v>
      </c>
      <c r="W52" s="1"/>
      <c r="X52" s="1">
        <f t="shared" si="34"/>
        <v>-54.94</v>
      </c>
      <c r="Y52" s="1"/>
      <c r="Z52" s="5">
        <f t="shared" si="35"/>
        <v>-0.45783333333333331</v>
      </c>
    </row>
    <row r="53" spans="1:26" s="24" customFormat="1" hidden="1" outlineLevel="2" x14ac:dyDescent="0.25">
      <c r="A53" s="27"/>
      <c r="B53" s="11" t="str">
        <f>CONCATENATE("          ", "6307", " - ", "POSTAGE")</f>
        <v xml:space="preserve">          6307 - POSTAGE</v>
      </c>
      <c r="C53" s="11"/>
      <c r="D53" s="7"/>
      <c r="E53" s="2"/>
      <c r="F53" s="6">
        <f t="shared" si="28"/>
        <v>0</v>
      </c>
      <c r="G53" s="2"/>
      <c r="H53" s="7">
        <v>15</v>
      </c>
      <c r="I53" s="2"/>
      <c r="J53" s="6">
        <f t="shared" si="29"/>
        <v>0</v>
      </c>
      <c r="K53" s="2"/>
      <c r="L53" s="7">
        <f t="shared" si="30"/>
        <v>-15</v>
      </c>
      <c r="M53" s="2"/>
      <c r="N53" s="6">
        <f t="shared" si="31"/>
        <v>-1</v>
      </c>
      <c r="O53" s="11"/>
      <c r="P53" s="7">
        <v>65.06</v>
      </c>
      <c r="Q53" s="2"/>
      <c r="R53" s="6">
        <f t="shared" si="32"/>
        <v>0</v>
      </c>
      <c r="S53" s="2"/>
      <c r="T53" s="7">
        <v>120</v>
      </c>
      <c r="U53" s="2"/>
      <c r="V53" s="6">
        <f t="shared" si="33"/>
        <v>0</v>
      </c>
      <c r="W53" s="2"/>
      <c r="X53" s="7">
        <f t="shared" si="34"/>
        <v>-54.94</v>
      </c>
      <c r="Y53" s="2"/>
      <c r="Z53" s="6">
        <f t="shared" si="35"/>
        <v>-0.45783333333333331</v>
      </c>
    </row>
    <row r="54" spans="1:26" s="28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SUM(OSRRefP22_8x_0)</f>
        <v>0</v>
      </c>
      <c r="Q54" s="1"/>
      <c r="R54" s="5">
        <f t="shared" si="32"/>
        <v>0</v>
      </c>
      <c r="S54" s="1"/>
      <c r="T54" s="1">
        <f>SUM(OSRRefT22_8x_0)</f>
        <v>1500</v>
      </c>
      <c r="U54" s="1"/>
      <c r="V54" s="5">
        <f t="shared" si="33"/>
        <v>0</v>
      </c>
      <c r="W54" s="1"/>
      <c r="X54" s="1">
        <f t="shared" si="34"/>
        <v>-1500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1500</v>
      </c>
      <c r="U55" s="2"/>
      <c r="V55" s="6">
        <f t="shared" si="33"/>
        <v>0</v>
      </c>
      <c r="W55" s="2"/>
      <c r="X55" s="7">
        <f t="shared" si="34"/>
        <v>-1500</v>
      </c>
      <c r="Y55" s="2"/>
      <c r="Z55" s="6">
        <f t="shared" si="35"/>
        <v>-1</v>
      </c>
    </row>
    <row r="56" spans="1:26" s="28" customFormat="1" outlineLevel="1" collapsed="1" x14ac:dyDescent="0.25">
      <c r="A56" s="29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SUM(OSRRefD22_9x_0)</f>
        <v>115.13</v>
      </c>
      <c r="E56" s="1"/>
      <c r="F56" s="5">
        <f t="shared" si="28"/>
        <v>0</v>
      </c>
      <c r="G56" s="1"/>
      <c r="H56" s="1">
        <f>SUM(OSRRefH22_9x_0)</f>
        <v>126</v>
      </c>
      <c r="I56" s="1"/>
      <c r="J56" s="5">
        <f t="shared" si="29"/>
        <v>0</v>
      </c>
      <c r="K56" s="1"/>
      <c r="L56" s="1">
        <f t="shared" si="30"/>
        <v>-10.870000000000005</v>
      </c>
      <c r="M56" s="1"/>
      <c r="N56" s="5">
        <f t="shared" si="31"/>
        <v>-8.6269841269841302E-2</v>
      </c>
      <c r="O56" s="14"/>
      <c r="P56" s="1">
        <f>SUM(OSRRefP22_9x_0)</f>
        <v>921.04</v>
      </c>
      <c r="Q56" s="1"/>
      <c r="R56" s="5">
        <f t="shared" si="32"/>
        <v>0</v>
      </c>
      <c r="S56" s="1"/>
      <c r="T56" s="1">
        <f>SUM(OSRRefT22_9x_0)</f>
        <v>1008</v>
      </c>
      <c r="U56" s="1"/>
      <c r="V56" s="5">
        <f t="shared" si="33"/>
        <v>0</v>
      </c>
      <c r="W56" s="1"/>
      <c r="X56" s="1">
        <f t="shared" si="34"/>
        <v>-86.960000000000036</v>
      </c>
      <c r="Y56" s="1"/>
      <c r="Z56" s="5">
        <f t="shared" si="35"/>
        <v>-8.6269841269841302E-2</v>
      </c>
    </row>
    <row r="57" spans="1:26" s="24" customFormat="1" hidden="1" outlineLevel="2" x14ac:dyDescent="0.25">
      <c r="A57" s="27"/>
      <c r="B57" s="11" t="str">
        <f>CONCATENATE("          ", "6314", " - ", "LIABILITY INSURANCE")</f>
        <v xml:space="preserve">          6314 - LIABILITY INSURANCE</v>
      </c>
      <c r="C57" s="11"/>
      <c r="D57" s="7">
        <v>115.13</v>
      </c>
      <c r="E57" s="2"/>
      <c r="F57" s="6">
        <f t="shared" si="28"/>
        <v>0</v>
      </c>
      <c r="G57" s="2"/>
      <c r="H57" s="7">
        <v>126</v>
      </c>
      <c r="I57" s="2"/>
      <c r="J57" s="6">
        <f t="shared" si="29"/>
        <v>0</v>
      </c>
      <c r="K57" s="2"/>
      <c r="L57" s="7">
        <f t="shared" si="30"/>
        <v>-10.870000000000005</v>
      </c>
      <c r="M57" s="2"/>
      <c r="N57" s="6">
        <f t="shared" si="31"/>
        <v>-8.6269841269841302E-2</v>
      </c>
      <c r="O57" s="11"/>
      <c r="P57" s="7">
        <v>921.04</v>
      </c>
      <c r="Q57" s="2"/>
      <c r="R57" s="6">
        <f t="shared" si="32"/>
        <v>0</v>
      </c>
      <c r="S57" s="2"/>
      <c r="T57" s="7">
        <v>1008</v>
      </c>
      <c r="U57" s="2"/>
      <c r="V57" s="6">
        <f t="shared" si="33"/>
        <v>0</v>
      </c>
      <c r="W57" s="2"/>
      <c r="X57" s="7">
        <f t="shared" si="34"/>
        <v>-86.960000000000036</v>
      </c>
      <c r="Y57" s="2"/>
      <c r="Z57" s="6">
        <f t="shared" si="35"/>
        <v>-8.6269841269841302E-2</v>
      </c>
    </row>
    <row r="58" spans="1:26" s="28" customFormat="1" outlineLevel="1" collapsed="1" x14ac:dyDescent="0.25">
      <c r="A58" s="29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SUM(OSRRefD22_10x_0)</f>
        <v>725</v>
      </c>
      <c r="E58" s="1"/>
      <c r="F58" s="5">
        <f t="shared" si="28"/>
        <v>0</v>
      </c>
      <c r="G58" s="1"/>
      <c r="H58" s="1">
        <f>SUM(OSRRefH22_10x_0)</f>
        <v>1500</v>
      </c>
      <c r="I58" s="1"/>
      <c r="J58" s="5">
        <f t="shared" si="29"/>
        <v>0</v>
      </c>
      <c r="K58" s="1"/>
      <c r="L58" s="1">
        <f t="shared" si="30"/>
        <v>-775</v>
      </c>
      <c r="M58" s="1"/>
      <c r="N58" s="5">
        <f t="shared" si="31"/>
        <v>-0.51666666666666672</v>
      </c>
      <c r="O58" s="14"/>
      <c r="P58" s="1">
        <f>SUM(OSRRefP22_10x_0)</f>
        <v>50379.24</v>
      </c>
      <c r="Q58" s="1"/>
      <c r="R58" s="5">
        <f t="shared" si="32"/>
        <v>0</v>
      </c>
      <c r="S58" s="1"/>
      <c r="T58" s="1">
        <f>SUM(OSRRefT22_10x_0)</f>
        <v>58500</v>
      </c>
      <c r="U58" s="1"/>
      <c r="V58" s="5">
        <f t="shared" si="33"/>
        <v>0</v>
      </c>
      <c r="W58" s="1"/>
      <c r="X58" s="1">
        <f t="shared" si="34"/>
        <v>-8120.760000000002</v>
      </c>
      <c r="Y58" s="1"/>
      <c r="Z58" s="5">
        <f t="shared" si="35"/>
        <v>-0.13881641025641028</v>
      </c>
    </row>
    <row r="59" spans="1:26" s="24" customFormat="1" hidden="1" outlineLevel="2" x14ac:dyDescent="0.25">
      <c r="A59" s="27"/>
      <c r="B59" s="11" t="str">
        <f>CONCATENATE("          ", "6331", " - ", "INDIRECT COSTS-AUXILIARY ORGAN")</f>
        <v xml:space="preserve">          6331 - INDIRECT COSTS-AUXILIARY ORGAN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45850</v>
      </c>
      <c r="Q59" s="2"/>
      <c r="R59" s="6">
        <f t="shared" si="32"/>
        <v>0</v>
      </c>
      <c r="S59" s="2"/>
      <c r="T59" s="7">
        <v>49000</v>
      </c>
      <c r="U59" s="2"/>
      <c r="V59" s="6">
        <f t="shared" si="33"/>
        <v>0</v>
      </c>
      <c r="W59" s="2"/>
      <c r="X59" s="7">
        <f t="shared" si="34"/>
        <v>-3150</v>
      </c>
      <c r="Y59" s="2"/>
      <c r="Z59" s="6">
        <f t="shared" si="35"/>
        <v>-6.4285714285714279E-2</v>
      </c>
    </row>
    <row r="60" spans="1:26" s="24" customFormat="1" hidden="1" outlineLevel="2" x14ac:dyDescent="0.25">
      <c r="A60" s="27"/>
      <c r="B60" s="11" t="str">
        <f>CONCATENATE("          ", "6334", " - ", "LEGAL COUNCIL EXPENSE")</f>
        <v xml:space="preserve">          6334 - LEGAL COUNCIL EXPENSE</v>
      </c>
      <c r="C60" s="11"/>
      <c r="D60" s="7">
        <v>725</v>
      </c>
      <c r="E60" s="2"/>
      <c r="F60" s="6">
        <f t="shared" si="28"/>
        <v>0</v>
      </c>
      <c r="G60" s="2"/>
      <c r="H60" s="7">
        <v>1500</v>
      </c>
      <c r="I60" s="2"/>
      <c r="J60" s="6">
        <f t="shared" si="29"/>
        <v>0</v>
      </c>
      <c r="K60" s="2"/>
      <c r="L60" s="7">
        <f t="shared" si="30"/>
        <v>-775</v>
      </c>
      <c r="M60" s="2"/>
      <c r="N60" s="6">
        <f t="shared" si="31"/>
        <v>-0.51666666666666672</v>
      </c>
      <c r="O60" s="11"/>
      <c r="P60" s="7">
        <v>4529.24</v>
      </c>
      <c r="Q60" s="2"/>
      <c r="R60" s="6">
        <f t="shared" si="32"/>
        <v>0</v>
      </c>
      <c r="S60" s="2"/>
      <c r="T60" s="7">
        <v>4500</v>
      </c>
      <c r="U60" s="2"/>
      <c r="V60" s="6">
        <f t="shared" si="33"/>
        <v>0</v>
      </c>
      <c r="W60" s="2"/>
      <c r="X60" s="7">
        <f t="shared" si="34"/>
        <v>29.239999999999782</v>
      </c>
      <c r="Y60" s="2"/>
      <c r="Z60" s="6">
        <f t="shared" si="35"/>
        <v>6.4977777777777291E-3</v>
      </c>
    </row>
    <row r="61" spans="1:26" s="24" customFormat="1" hidden="1" outlineLevel="2" x14ac:dyDescent="0.25">
      <c r="A61" s="27"/>
      <c r="B61" s="11" t="str">
        <f>CONCATENATE("          ", "6336", " - ", "PROFESSIONAL SERVICES")</f>
        <v xml:space="preserve">          6336 - PROFESSIONAL SERVICES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5000</v>
      </c>
      <c r="U61" s="2"/>
      <c r="V61" s="6">
        <f t="shared" si="33"/>
        <v>0</v>
      </c>
      <c r="W61" s="2"/>
      <c r="X61" s="7">
        <f t="shared" si="34"/>
        <v>-5000</v>
      </c>
      <c r="Y61" s="2"/>
      <c r="Z61" s="6">
        <f t="shared" si="35"/>
        <v>-1</v>
      </c>
    </row>
    <row r="62" spans="1:26" s="28" customFormat="1" outlineLevel="1" collapsed="1" x14ac:dyDescent="0.25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SUM(OSRRefD22_11x_0)</f>
        <v>21.75</v>
      </c>
      <c r="E62" s="1"/>
      <c r="F62" s="5">
        <f t="shared" ref="F62:F69" si="36">IF(D$12=0,0,D62/D$12)</f>
        <v>0</v>
      </c>
      <c r="G62" s="1"/>
      <c r="H62" s="1">
        <f>SUM(OSRRefH22_11x_0)</f>
        <v>2182</v>
      </c>
      <c r="I62" s="1"/>
      <c r="J62" s="5">
        <f t="shared" ref="J62:J69" si="37">IF(H$12=0,0,H62/H$12)</f>
        <v>0</v>
      </c>
      <c r="K62" s="1"/>
      <c r="L62" s="1">
        <f t="shared" ref="L62:L69" si="38">+D62-H62</f>
        <v>-2160.25</v>
      </c>
      <c r="M62" s="1"/>
      <c r="N62" s="5">
        <f t="shared" ref="N62:N69" si="39">IF(H62=0,0,L62/H62)</f>
        <v>-0.99003208065994497</v>
      </c>
      <c r="O62" s="14"/>
      <c r="P62" s="1">
        <f>SUM(OSRRefP22_11x_0)</f>
        <v>15874.22</v>
      </c>
      <c r="Q62" s="1"/>
      <c r="R62" s="5">
        <f t="shared" ref="R62:R69" si="40">IF(P$12=0,0,P62/P$12)</f>
        <v>0</v>
      </c>
      <c r="S62" s="1"/>
      <c r="T62" s="1">
        <f>SUM(OSRRefT22_11x_0)</f>
        <v>17456</v>
      </c>
      <c r="U62" s="1"/>
      <c r="V62" s="5">
        <f t="shared" ref="V62:V69" si="41">IF(T$12=0,0,T62/T$12)</f>
        <v>0</v>
      </c>
      <c r="W62" s="1"/>
      <c r="X62" s="1">
        <f t="shared" ref="X62:X69" si="42">+P62-T62</f>
        <v>-1581.7800000000007</v>
      </c>
      <c r="Y62" s="1"/>
      <c r="Z62" s="5">
        <f t="shared" ref="Z62:Z69" si="43">IF(T62=0,0,X62/T62)</f>
        <v>-9.061526122823102E-2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7">
        <v>21.75</v>
      </c>
      <c r="E63" s="2"/>
      <c r="F63" s="6">
        <f t="shared" si="36"/>
        <v>0</v>
      </c>
      <c r="G63" s="2"/>
      <c r="H63" s="7">
        <v>2182</v>
      </c>
      <c r="I63" s="2"/>
      <c r="J63" s="6">
        <f t="shared" si="37"/>
        <v>0</v>
      </c>
      <c r="K63" s="2"/>
      <c r="L63" s="7">
        <f t="shared" si="38"/>
        <v>-2160.25</v>
      </c>
      <c r="M63" s="2"/>
      <c r="N63" s="6">
        <f t="shared" si="39"/>
        <v>-0.99003208065994497</v>
      </c>
      <c r="O63" s="11"/>
      <c r="P63" s="7">
        <v>15874.22</v>
      </c>
      <c r="Q63" s="2"/>
      <c r="R63" s="6">
        <f t="shared" si="40"/>
        <v>0</v>
      </c>
      <c r="S63" s="2"/>
      <c r="T63" s="7">
        <v>17456</v>
      </c>
      <c r="U63" s="2"/>
      <c r="V63" s="6">
        <f t="shared" si="41"/>
        <v>0</v>
      </c>
      <c r="W63" s="2"/>
      <c r="X63" s="7">
        <f t="shared" si="42"/>
        <v>-1581.7800000000007</v>
      </c>
      <c r="Y63" s="2"/>
      <c r="Z63" s="6">
        <f t="shared" si="43"/>
        <v>-9.061526122823102E-2</v>
      </c>
    </row>
    <row r="64" spans="1:26" s="28" customFormat="1" outlineLevel="1" collapsed="1" x14ac:dyDescent="0.25">
      <c r="A64" s="29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SUM(OSRRefD22_12x_0)</f>
        <v>0</v>
      </c>
      <c r="E64" s="1"/>
      <c r="F64" s="5">
        <f t="shared" si="36"/>
        <v>0</v>
      </c>
      <c r="G64" s="1"/>
      <c r="H64" s="1">
        <f>SUM(OSRRefH22_12x_0)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SUM(OSRRefP22_12x_0)</f>
        <v>1725</v>
      </c>
      <c r="Q64" s="1"/>
      <c r="R64" s="5">
        <f t="shared" si="40"/>
        <v>0</v>
      </c>
      <c r="S64" s="1"/>
      <c r="T64" s="1">
        <f>SUM(OSRRefT22_12x_0)</f>
        <v>1250</v>
      </c>
      <c r="U64" s="1"/>
      <c r="V64" s="5">
        <f t="shared" si="41"/>
        <v>0</v>
      </c>
      <c r="W64" s="1"/>
      <c r="X64" s="1">
        <f t="shared" si="42"/>
        <v>475</v>
      </c>
      <c r="Y64" s="1"/>
      <c r="Z64" s="5">
        <f t="shared" si="43"/>
        <v>0.38</v>
      </c>
    </row>
    <row r="65" spans="1:26" s="24" customFormat="1" hidden="1" outlineLevel="2" x14ac:dyDescent="0.25">
      <c r="A65" s="27"/>
      <c r="B65" s="11" t="str">
        <f>CONCATENATE("          ", "6258", " - ", "MEMBERSHIP DUES")</f>
        <v xml:space="preserve">          6258 - MEMBERSHIP DUES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1725</v>
      </c>
      <c r="Q65" s="2"/>
      <c r="R65" s="6">
        <f t="shared" si="40"/>
        <v>0</v>
      </c>
      <c r="S65" s="2"/>
      <c r="T65" s="7">
        <v>1250</v>
      </c>
      <c r="U65" s="2"/>
      <c r="V65" s="6">
        <f t="shared" si="41"/>
        <v>0</v>
      </c>
      <c r="W65" s="2"/>
      <c r="X65" s="7">
        <f t="shared" si="42"/>
        <v>475</v>
      </c>
      <c r="Y65" s="2"/>
      <c r="Z65" s="6">
        <f t="shared" si="43"/>
        <v>0.38</v>
      </c>
    </row>
    <row r="66" spans="1:26" s="28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39.69</v>
      </c>
      <c r="E66" s="1"/>
      <c r="F66" s="5">
        <f t="shared" si="36"/>
        <v>0</v>
      </c>
      <c r="G66" s="1"/>
      <c r="H66" s="1">
        <f>SUM(OSRRefH22_13x_0)</f>
        <v>1000</v>
      </c>
      <c r="I66" s="1"/>
      <c r="J66" s="5">
        <f t="shared" si="37"/>
        <v>0</v>
      </c>
      <c r="K66" s="1"/>
      <c r="L66" s="1">
        <f t="shared" si="38"/>
        <v>-960.31</v>
      </c>
      <c r="M66" s="1"/>
      <c r="N66" s="5">
        <f t="shared" si="39"/>
        <v>-0.96031</v>
      </c>
      <c r="O66" s="14"/>
      <c r="P66" s="1">
        <f>SUM(OSRRefP22_13x_0)</f>
        <v>590.51</v>
      </c>
      <c r="Q66" s="1"/>
      <c r="R66" s="5">
        <f t="shared" si="40"/>
        <v>0</v>
      </c>
      <c r="S66" s="1"/>
      <c r="T66" s="1">
        <f>SUM(OSRRefT22_13x_0)</f>
        <v>11500</v>
      </c>
      <c r="U66" s="1"/>
      <c r="V66" s="5">
        <f t="shared" si="41"/>
        <v>0</v>
      </c>
      <c r="W66" s="1"/>
      <c r="X66" s="1">
        <f t="shared" si="42"/>
        <v>-10909.49</v>
      </c>
      <c r="Y66" s="1"/>
      <c r="Z66" s="5">
        <f t="shared" si="43"/>
        <v>-0.94865130434782607</v>
      </c>
    </row>
    <row r="67" spans="1:26" s="24" customFormat="1" hidden="1" outlineLevel="2" x14ac:dyDescent="0.25">
      <c r="A67" s="27"/>
      <c r="B67" s="11" t="str">
        <f>CONCATENATE("          ", "6234", " - ", "EXPENDABLE SUPPLIES &amp; EQUIPMEN")</f>
        <v xml:space="preserve">          6234 - EXPENDABLE SUPPLIES &amp; EQUIPMEN</v>
      </c>
      <c r="C67" s="11"/>
      <c r="D67" s="7"/>
      <c r="E67" s="2"/>
      <c r="F67" s="6">
        <f t="shared" si="36"/>
        <v>0</v>
      </c>
      <c r="G67" s="2"/>
      <c r="H67" s="7">
        <v>1000</v>
      </c>
      <c r="I67" s="2"/>
      <c r="J67" s="6">
        <f t="shared" si="37"/>
        <v>0</v>
      </c>
      <c r="K67" s="2"/>
      <c r="L67" s="7">
        <f t="shared" si="38"/>
        <v>-1000</v>
      </c>
      <c r="M67" s="2"/>
      <c r="N67" s="6">
        <f t="shared" si="39"/>
        <v>-1</v>
      </c>
      <c r="O67" s="11"/>
      <c r="P67" s="7"/>
      <c r="Q67" s="2"/>
      <c r="R67" s="6">
        <f t="shared" si="40"/>
        <v>0</v>
      </c>
      <c r="S67" s="2"/>
      <c r="T67" s="7">
        <v>8000</v>
      </c>
      <c r="U67" s="2"/>
      <c r="V67" s="6">
        <f t="shared" si="41"/>
        <v>0</v>
      </c>
      <c r="W67" s="2"/>
      <c r="X67" s="7">
        <f t="shared" si="42"/>
        <v>-8000</v>
      </c>
      <c r="Y67" s="2"/>
      <c r="Z67" s="6">
        <f t="shared" si="43"/>
        <v>-1</v>
      </c>
    </row>
    <row r="68" spans="1:26" s="24" customFormat="1" hidden="1" outlineLevel="2" x14ac:dyDescent="0.25">
      <c r="A68" s="27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106.94</v>
      </c>
      <c r="Q68" s="2"/>
      <c r="R68" s="6">
        <f t="shared" si="40"/>
        <v>0</v>
      </c>
      <c r="S68" s="2"/>
      <c r="T68" s="7">
        <v>1000</v>
      </c>
      <c r="U68" s="2"/>
      <c r="V68" s="6">
        <f t="shared" si="41"/>
        <v>0</v>
      </c>
      <c r="W68" s="2"/>
      <c r="X68" s="7">
        <f t="shared" si="42"/>
        <v>-893.06</v>
      </c>
      <c r="Y68" s="2"/>
      <c r="Z68" s="6">
        <f t="shared" si="43"/>
        <v>-0.89305999999999996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7">
        <v>39.69</v>
      </c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39.69</v>
      </c>
      <c r="M69" s="2"/>
      <c r="N69" s="6">
        <f t="shared" si="39"/>
        <v>0</v>
      </c>
      <c r="O69" s="11"/>
      <c r="P69" s="7">
        <v>483.57</v>
      </c>
      <c r="Q69" s="2"/>
      <c r="R69" s="6">
        <f t="shared" si="40"/>
        <v>0</v>
      </c>
      <c r="S69" s="2"/>
      <c r="T69" s="7">
        <v>2500</v>
      </c>
      <c r="U69" s="2"/>
      <c r="V69" s="6">
        <f t="shared" si="41"/>
        <v>0</v>
      </c>
      <c r="W69" s="2"/>
      <c r="X69" s="7">
        <f t="shared" si="42"/>
        <v>-2016.43</v>
      </c>
      <c r="Y69" s="2"/>
      <c r="Z69" s="6">
        <f t="shared" si="43"/>
        <v>-0.80657200000000007</v>
      </c>
    </row>
    <row r="70" spans="1:26" s="28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SUM(OSRRefD22_14x_0)</f>
        <v>249.72</v>
      </c>
      <c r="E70" s="1"/>
      <c r="F70" s="5">
        <f t="shared" ref="F70:F75" si="44">IF(D$12=0,0,D70/D$12)</f>
        <v>0</v>
      </c>
      <c r="G70" s="1"/>
      <c r="H70" s="1">
        <f>SUM(OSRRefH22_14x_0)</f>
        <v>350</v>
      </c>
      <c r="I70" s="1"/>
      <c r="J70" s="5">
        <f t="shared" ref="J70:J75" si="45">IF(H$12=0,0,H70/H$12)</f>
        <v>0</v>
      </c>
      <c r="K70" s="1"/>
      <c r="L70" s="1">
        <f t="shared" ref="L70:L75" si="46">+D70-H70</f>
        <v>-100.28</v>
      </c>
      <c r="M70" s="1"/>
      <c r="N70" s="5">
        <f t="shared" ref="N70:N75" si="47">IF(H70=0,0,L70/H70)</f>
        <v>-0.28651428571428572</v>
      </c>
      <c r="O70" s="14"/>
      <c r="P70" s="1">
        <f>SUM(OSRRefP22_14x_0)</f>
        <v>3413.87</v>
      </c>
      <c r="Q70" s="1"/>
      <c r="R70" s="5">
        <f t="shared" ref="R70:R75" si="48">IF(P$12=0,0,P70/P$12)</f>
        <v>0</v>
      </c>
      <c r="S70" s="1"/>
      <c r="T70" s="1">
        <f>SUM(OSRRefT22_14x_0)</f>
        <v>2800</v>
      </c>
      <c r="U70" s="1"/>
      <c r="V70" s="5">
        <f t="shared" ref="V70:V75" si="49">IF(T$12=0,0,T70/T$12)</f>
        <v>0</v>
      </c>
      <c r="W70" s="1"/>
      <c r="X70" s="1">
        <f t="shared" ref="X70:X75" si="50">+P70-T70</f>
        <v>613.86999999999989</v>
      </c>
      <c r="Y70" s="1"/>
      <c r="Z70" s="5">
        <f t="shared" ref="Z70:Z75" si="51">IF(T70=0,0,X70/T70)</f>
        <v>0.21923928571428566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7">
        <v>249.72</v>
      </c>
      <c r="E71" s="2"/>
      <c r="F71" s="6">
        <f t="shared" si="44"/>
        <v>0</v>
      </c>
      <c r="G71" s="2"/>
      <c r="H71" s="7">
        <v>350</v>
      </c>
      <c r="I71" s="2"/>
      <c r="J71" s="6">
        <f t="shared" si="45"/>
        <v>0</v>
      </c>
      <c r="K71" s="2"/>
      <c r="L71" s="7">
        <f t="shared" si="46"/>
        <v>-100.28</v>
      </c>
      <c r="M71" s="2"/>
      <c r="N71" s="6">
        <f t="shared" si="47"/>
        <v>-0.28651428571428572</v>
      </c>
      <c r="O71" s="11"/>
      <c r="P71" s="7">
        <v>3413.87</v>
      </c>
      <c r="Q71" s="2"/>
      <c r="R71" s="6">
        <f t="shared" si="48"/>
        <v>0</v>
      </c>
      <c r="S71" s="2"/>
      <c r="T71" s="7">
        <v>2800</v>
      </c>
      <c r="U71" s="2"/>
      <c r="V71" s="6">
        <f t="shared" si="49"/>
        <v>0</v>
      </c>
      <c r="W71" s="2"/>
      <c r="X71" s="7">
        <f t="shared" si="50"/>
        <v>613.86999999999989</v>
      </c>
      <c r="Y71" s="2"/>
      <c r="Z71" s="6">
        <f t="shared" si="51"/>
        <v>0.21923928571428566</v>
      </c>
    </row>
    <row r="72" spans="1:26" s="28" customFormat="1" outlineLevel="1" collapsed="1" x14ac:dyDescent="0.25">
      <c r="A72" s="29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SUM(OSRRefD22_15x_0)</f>
        <v>150</v>
      </c>
      <c r="E72" s="1"/>
      <c r="F72" s="5">
        <f t="shared" si="44"/>
        <v>0</v>
      </c>
      <c r="G72" s="1"/>
      <c r="H72" s="1">
        <f>SUM(OSRRefH22_15x_0)</f>
        <v>500</v>
      </c>
      <c r="I72" s="1"/>
      <c r="J72" s="5">
        <f t="shared" si="45"/>
        <v>0</v>
      </c>
      <c r="K72" s="1"/>
      <c r="L72" s="1">
        <f t="shared" si="46"/>
        <v>-350</v>
      </c>
      <c r="M72" s="1"/>
      <c r="N72" s="5">
        <f t="shared" si="47"/>
        <v>-0.7</v>
      </c>
      <c r="O72" s="14"/>
      <c r="P72" s="1">
        <f>SUM(OSRRefP22_15x_0)</f>
        <v>1276.5</v>
      </c>
      <c r="Q72" s="1"/>
      <c r="R72" s="5">
        <f t="shared" si="48"/>
        <v>0</v>
      </c>
      <c r="S72" s="1"/>
      <c r="T72" s="1">
        <f>SUM(OSRRefT22_15x_0)</f>
        <v>4500</v>
      </c>
      <c r="U72" s="1"/>
      <c r="V72" s="5">
        <f t="shared" si="49"/>
        <v>0</v>
      </c>
      <c r="W72" s="1"/>
      <c r="X72" s="1">
        <f t="shared" si="50"/>
        <v>-3223.5</v>
      </c>
      <c r="Y72" s="1"/>
      <c r="Z72" s="5">
        <f t="shared" si="51"/>
        <v>-0.71633333333333338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7">
        <v>150</v>
      </c>
      <c r="E73" s="2"/>
      <c r="F73" s="6">
        <f t="shared" si="44"/>
        <v>0</v>
      </c>
      <c r="G73" s="2"/>
      <c r="H73" s="7">
        <v>500</v>
      </c>
      <c r="I73" s="2"/>
      <c r="J73" s="6">
        <f t="shared" si="45"/>
        <v>0</v>
      </c>
      <c r="K73" s="2"/>
      <c r="L73" s="7">
        <f t="shared" si="46"/>
        <v>-350</v>
      </c>
      <c r="M73" s="2"/>
      <c r="N73" s="6">
        <f t="shared" si="47"/>
        <v>-0.7</v>
      </c>
      <c r="O73" s="11"/>
      <c r="P73" s="7">
        <v>1276.5</v>
      </c>
      <c r="Q73" s="2"/>
      <c r="R73" s="6">
        <f t="shared" si="48"/>
        <v>0</v>
      </c>
      <c r="S73" s="2"/>
      <c r="T73" s="7">
        <v>4500</v>
      </c>
      <c r="U73" s="2"/>
      <c r="V73" s="6">
        <f t="shared" si="49"/>
        <v>0</v>
      </c>
      <c r="W73" s="2"/>
      <c r="X73" s="7">
        <f t="shared" si="50"/>
        <v>-3223.5</v>
      </c>
      <c r="Y73" s="2"/>
      <c r="Z73" s="6">
        <f t="shared" si="51"/>
        <v>-0.71633333333333338</v>
      </c>
    </row>
    <row r="74" spans="1:26" s="28" customFormat="1" outlineLevel="1" collapsed="1" x14ac:dyDescent="0.25">
      <c r="A74" s="29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SUM(OSRRefD22_16x_0)</f>
        <v>0</v>
      </c>
      <c r="E74" s="1"/>
      <c r="F74" s="5">
        <f t="shared" si="44"/>
        <v>0</v>
      </c>
      <c r="G74" s="1"/>
      <c r="H74" s="1">
        <f>SUM(OSRRefH22_16x_0)</f>
        <v>1500</v>
      </c>
      <c r="I74" s="1"/>
      <c r="J74" s="5">
        <f t="shared" si="45"/>
        <v>0</v>
      </c>
      <c r="K74" s="1"/>
      <c r="L74" s="1">
        <f t="shared" si="46"/>
        <v>-1500</v>
      </c>
      <c r="M74" s="1"/>
      <c r="N74" s="5">
        <f t="shared" si="47"/>
        <v>-1</v>
      </c>
      <c r="O74" s="14"/>
      <c r="P74" s="1">
        <f>SUM(OSRRefP22_16x_0)</f>
        <v>0</v>
      </c>
      <c r="Q74" s="1"/>
      <c r="R74" s="5">
        <f t="shared" si="48"/>
        <v>0</v>
      </c>
      <c r="S74" s="1"/>
      <c r="T74" s="1">
        <f>SUM(OSRRefT22_16x_0)</f>
        <v>1600</v>
      </c>
      <c r="U74" s="1"/>
      <c r="V74" s="5">
        <f t="shared" si="49"/>
        <v>0</v>
      </c>
      <c r="W74" s="1"/>
      <c r="X74" s="1">
        <f t="shared" si="50"/>
        <v>-1600</v>
      </c>
      <c r="Y74" s="1"/>
      <c r="Z74" s="5">
        <f t="shared" si="51"/>
        <v>-1</v>
      </c>
    </row>
    <row r="75" spans="1:26" s="24" customFormat="1" hidden="1" outlineLevel="2" x14ac:dyDescent="0.25">
      <c r="A75" s="27"/>
      <c r="B75" s="11" t="str">
        <f>CONCATENATE("          ", "6294", " - ", "TRAVEL OPERATIONAL")</f>
        <v xml:space="preserve">          6294 - TRAVEL OPERATIONAL</v>
      </c>
      <c r="C75" s="11"/>
      <c r="D75" s="7"/>
      <c r="E75" s="2"/>
      <c r="F75" s="6">
        <f t="shared" si="44"/>
        <v>0</v>
      </c>
      <c r="G75" s="2"/>
      <c r="H75" s="7">
        <v>1500</v>
      </c>
      <c r="I75" s="2"/>
      <c r="J75" s="6">
        <f t="shared" si="45"/>
        <v>0</v>
      </c>
      <c r="K75" s="2"/>
      <c r="L75" s="7">
        <f t="shared" si="46"/>
        <v>-1500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1600</v>
      </c>
      <c r="U75" s="2"/>
      <c r="V75" s="6">
        <f t="shared" si="49"/>
        <v>0</v>
      </c>
      <c r="W75" s="2"/>
      <c r="X75" s="7">
        <f t="shared" si="50"/>
        <v>-1600</v>
      </c>
      <c r="Y75" s="2"/>
      <c r="Z75" s="6">
        <f t="shared" si="51"/>
        <v>-1</v>
      </c>
    </row>
    <row r="76" spans="1:26" s="58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3</v>
      </c>
      <c r="C79" s="25"/>
      <c r="D79" s="19">
        <f>+D17-D19+D77</f>
        <v>-30894.159999999996</v>
      </c>
      <c r="E79" s="13"/>
      <c r="F79" s="21">
        <f>IF(D$12=0,0,D79/D$12)</f>
        <v>0</v>
      </c>
      <c r="G79" s="13"/>
      <c r="H79" s="19">
        <f>+H17-H19+H77</f>
        <v>-37668.75790769227</v>
      </c>
      <c r="I79" s="13"/>
      <c r="J79" s="21">
        <f>IF(H$12=0,0,H79/H$12)</f>
        <v>0</v>
      </c>
      <c r="K79" s="15"/>
      <c r="L79" s="19">
        <f>+D79-H79</f>
        <v>6774.597907692274</v>
      </c>
      <c r="M79" s="15"/>
      <c r="N79" s="21">
        <f>IF(H79=0,0,L79/H79)</f>
        <v>-0.17984659659587143</v>
      </c>
      <c r="O79" s="26"/>
      <c r="P79" s="19">
        <f>+P17-P19+P77</f>
        <v>-299121.88</v>
      </c>
      <c r="Q79" s="13"/>
      <c r="R79" s="21">
        <f>IF(P$12=0,0,P79/P$12)</f>
        <v>0</v>
      </c>
      <c r="S79" s="13"/>
      <c r="T79" s="19">
        <f>+T17-T19+T77</f>
        <v>-378398.91049230745</v>
      </c>
      <c r="U79" s="13"/>
      <c r="V79" s="21">
        <f>IF(T$12=0,0,T79/T$12)</f>
        <v>0</v>
      </c>
      <c r="W79" s="15"/>
      <c r="X79" s="19">
        <f>+P79-T79</f>
        <v>79277.030492307444</v>
      </c>
      <c r="Y79" s="15"/>
      <c r="Z79" s="21">
        <f>IF(T79=0,0,X79/T79)</f>
        <v>-0.20950649775699892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4</v>
      </c>
      <c r="C83" s="25"/>
      <c r="D83" s="34">
        <f>+D79-D81</f>
        <v>-30894.159999999996</v>
      </c>
      <c r="E83" s="13"/>
      <c r="F83" s="30">
        <f>IF(D$12=0,0,D83/D$12)</f>
        <v>0</v>
      </c>
      <c r="G83" s="13"/>
      <c r="H83" s="34">
        <f>+H79-H81</f>
        <v>-37668.75790769227</v>
      </c>
      <c r="I83" s="13"/>
      <c r="J83" s="30">
        <f>IF(H$12=0,0,H83/H$12)</f>
        <v>0</v>
      </c>
      <c r="K83" s="15"/>
      <c r="L83" s="34">
        <f>D83-H83</f>
        <v>6774.597907692274</v>
      </c>
      <c r="M83" s="15"/>
      <c r="N83" s="30">
        <f>IF(H83=0,0,L83/H83)</f>
        <v>-0.17984659659587143</v>
      </c>
      <c r="O83" s="26"/>
      <c r="P83" s="34">
        <f>+P79-P81</f>
        <v>-299121.88</v>
      </c>
      <c r="Q83" s="13"/>
      <c r="R83" s="30">
        <f>IF(P$12=0,0,P83/P$12)</f>
        <v>0</v>
      </c>
      <c r="S83" s="13"/>
      <c r="T83" s="34">
        <f>+T79-T81</f>
        <v>-378398.91049230745</v>
      </c>
      <c r="U83" s="13"/>
      <c r="V83" s="30">
        <f>IF(T$12=0,0,T83/T$12)</f>
        <v>0</v>
      </c>
      <c r="W83" s="15"/>
      <c r="X83" s="34">
        <f>P83-T83</f>
        <v>79277.030492307444</v>
      </c>
      <c r="Y83" s="15"/>
      <c r="Z83" s="30">
        <f>IF(T83=0,0,X83/T83)</f>
        <v>-0.20950649775699892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5</v>
      </c>
      <c r="C86" s="25"/>
      <c r="D86" s="35">
        <f>SUM(D83:D85)</f>
        <v>-30894.159999999996</v>
      </c>
      <c r="E86" s="13"/>
      <c r="F86" s="31">
        <f>IF(D$12=0,0,D86/D$12)</f>
        <v>0</v>
      </c>
      <c r="G86" s="13"/>
      <c r="H86" s="35">
        <f>SUM(H83:H85)</f>
        <v>-37668.75790769227</v>
      </c>
      <c r="I86" s="13"/>
      <c r="J86" s="31">
        <f>IF(H$12=0,0,H86/H$12)</f>
        <v>0</v>
      </c>
      <c r="K86" s="15"/>
      <c r="L86" s="35">
        <f>+D86-H86</f>
        <v>6774.597907692274</v>
      </c>
      <c r="M86" s="15"/>
      <c r="N86" s="31">
        <f>IF(H86=0,0,L86/H86)</f>
        <v>-0.17984659659587143</v>
      </c>
      <c r="O86" s="26"/>
      <c r="P86" s="35">
        <f>SUM(P83:P85)</f>
        <v>-299121.88</v>
      </c>
      <c r="Q86" s="13"/>
      <c r="R86" s="31">
        <f>IF(P$12=0,0,P86/P$12)</f>
        <v>0</v>
      </c>
      <c r="S86" s="13"/>
      <c r="T86" s="35">
        <f>SUM(T83:T85)</f>
        <v>-378398.91049230745</v>
      </c>
      <c r="U86" s="13"/>
      <c r="V86" s="31">
        <f>IF(T$12=0,0,T86/T$12)</f>
        <v>0</v>
      </c>
      <c r="W86" s="15"/>
      <c r="X86" s="35">
        <f>+P86-T86</f>
        <v>79277.030492307444</v>
      </c>
      <c r="Y86" s="15"/>
      <c r="Z86" s="31">
        <f>IF(T86=0,0,X86/T86)</f>
        <v>-0.20950649775699892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3">
        <v>44267.671595601852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314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0</v>
      </c>
      <c r="E17" s="13"/>
      <c r="F17" s="21">
        <f>IF(D$12=0,0,D17/D$12)</f>
        <v>0</v>
      </c>
      <c r="G17" s="13"/>
      <c r="H17" s="19">
        <f>H12-H15</f>
        <v>0</v>
      </c>
      <c r="I17" s="13"/>
      <c r="J17" s="21">
        <f>IF(H$12=0,0,H17/H$12)</f>
        <v>0</v>
      </c>
      <c r="K17" s="15"/>
      <c r="L17" s="19">
        <f>+D17-H17</f>
        <v>0</v>
      </c>
      <c r="M17" s="15"/>
      <c r="N17" s="21">
        <f>IF(H17=0,0,L17/H17)</f>
        <v>0</v>
      </c>
      <c r="O17" s="26"/>
      <c r="P17" s="19">
        <f>P12-P15</f>
        <v>0</v>
      </c>
      <c r="Q17" s="13"/>
      <c r="R17" s="21">
        <f>IF(P$12=0,0,P17/P$12)</f>
        <v>0</v>
      </c>
      <c r="S17" s="13"/>
      <c r="T17" s="19">
        <f>T12-T15</f>
        <v>0</v>
      </c>
      <c r="U17" s="13"/>
      <c r="V17" s="21">
        <f>IF(T$12=0,0,T17/T$12)</f>
        <v>0</v>
      </c>
      <c r="W17" s="15"/>
      <c r="X17" s="19">
        <f>+P17-T17</f>
        <v>0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49534.039999999994</v>
      </c>
      <c r="E19" s="20"/>
      <c r="F19" s="33">
        <f t="shared" ref="F19:F29" si="4">IF(D$12=0,0,D19/D$12)</f>
        <v>0</v>
      </c>
      <c r="G19" s="20"/>
      <c r="H19" s="20">
        <f>SUM(OSRRefH22x_0)</f>
        <v>46890.482495384669</v>
      </c>
      <c r="I19" s="20"/>
      <c r="J19" s="33">
        <f t="shared" ref="J19:J29" si="5">IF(H$12=0,0,H19/H$12)</f>
        <v>0</v>
      </c>
      <c r="K19" s="4"/>
      <c r="L19" s="20">
        <f t="shared" ref="L19:L29" si="6">+D19-H19</f>
        <v>2643.5575046153244</v>
      </c>
      <c r="M19" s="4"/>
      <c r="N19" s="33">
        <f t="shared" ref="N19:N29" si="7">IF(H19=0,0,L19/H19)</f>
        <v>5.6377272400119242E-2</v>
      </c>
      <c r="O19" s="10"/>
      <c r="P19" s="20">
        <f>SUM(OSRRefP22x_0)</f>
        <v>321504.72999999992</v>
      </c>
      <c r="Q19" s="20"/>
      <c r="R19" s="33">
        <f t="shared" ref="R19:R29" si="8">IF(P$12=0,0,P19/P$12)</f>
        <v>0</v>
      </c>
      <c r="S19" s="20"/>
      <c r="T19" s="20">
        <f>SUM(OSRRefT22x_0)</f>
        <v>326335.3111146157</v>
      </c>
      <c r="U19" s="20"/>
      <c r="V19" s="33">
        <f t="shared" ref="V19:V29" si="9">IF(T$12=0,0,T19/T$12)</f>
        <v>0</v>
      </c>
      <c r="W19" s="4"/>
      <c r="X19" s="20">
        <f t="shared" ref="X19:X29" si="10">+P19-T19</f>
        <v>-4830.5811146157794</v>
      </c>
      <c r="Y19" s="4"/>
      <c r="Z19" s="33">
        <f t="shared" ref="Z19:Z29" si="11">IF(T19=0,0,X19/T19)</f>
        <v>-1.4802508187412118E-2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12793.13</v>
      </c>
      <c r="E20" s="1"/>
      <c r="F20" s="5">
        <f t="shared" si="4"/>
        <v>0</v>
      </c>
      <c r="G20" s="1"/>
      <c r="H20" s="1">
        <f>SUM(OSRRefH22_0x_0)</f>
        <v>11822.667110769233</v>
      </c>
      <c r="I20" s="1"/>
      <c r="J20" s="5">
        <f t="shared" si="5"/>
        <v>0</v>
      </c>
      <c r="K20" s="1"/>
      <c r="L20" s="1">
        <f t="shared" si="6"/>
        <v>970.46288923076645</v>
      </c>
      <c r="M20" s="1"/>
      <c r="N20" s="5">
        <f t="shared" si="7"/>
        <v>8.2084937361280738E-2</v>
      </c>
      <c r="O20" s="14"/>
      <c r="P20" s="1">
        <f>SUM(OSRRefP22_0x_0)</f>
        <v>106291.81</v>
      </c>
      <c r="Q20" s="1"/>
      <c r="R20" s="5">
        <f t="shared" si="8"/>
        <v>0</v>
      </c>
      <c r="S20" s="1"/>
      <c r="T20" s="1">
        <f>SUM(OSRRefT22_0x_0)</f>
        <v>97771.226499230834</v>
      </c>
      <c r="U20" s="1"/>
      <c r="V20" s="5">
        <f t="shared" si="9"/>
        <v>0</v>
      </c>
      <c r="W20" s="1"/>
      <c r="X20" s="1">
        <f t="shared" si="10"/>
        <v>8520.5835007691639</v>
      </c>
      <c r="Y20" s="1"/>
      <c r="Z20" s="5">
        <f t="shared" si="11"/>
        <v>8.7148170334512429E-2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1630.13</v>
      </c>
      <c r="E21" s="2"/>
      <c r="F21" s="6">
        <f t="shared" si="4"/>
        <v>0</v>
      </c>
      <c r="G21" s="2"/>
      <c r="H21" s="7">
        <v>1625.37946153846</v>
      </c>
      <c r="I21" s="2"/>
      <c r="J21" s="6">
        <f t="shared" si="5"/>
        <v>0</v>
      </c>
      <c r="K21" s="2"/>
      <c r="L21" s="7">
        <f t="shared" si="6"/>
        <v>4.7505384615401454</v>
      </c>
      <c r="M21" s="2"/>
      <c r="N21" s="6">
        <f t="shared" si="7"/>
        <v>2.922725784318481E-3</v>
      </c>
      <c r="O21" s="11"/>
      <c r="P21" s="7">
        <v>15061.64</v>
      </c>
      <c r="Q21" s="2"/>
      <c r="R21" s="6">
        <f t="shared" si="8"/>
        <v>0</v>
      </c>
      <c r="S21" s="2"/>
      <c r="T21" s="7">
        <v>14222.07028846154</v>
      </c>
      <c r="U21" s="2"/>
      <c r="V21" s="6">
        <f t="shared" si="9"/>
        <v>0</v>
      </c>
      <c r="W21" s="2"/>
      <c r="X21" s="7">
        <f t="shared" si="10"/>
        <v>839.56971153845916</v>
      </c>
      <c r="Y21" s="2"/>
      <c r="Z21" s="6">
        <f t="shared" si="11"/>
        <v>5.903287598146717E-2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70.319999999999993</v>
      </c>
      <c r="E22" s="2"/>
      <c r="F22" s="6">
        <f t="shared" si="4"/>
        <v>0</v>
      </c>
      <c r="G22" s="2"/>
      <c r="H22" s="7">
        <v>73.793483076923096</v>
      </c>
      <c r="I22" s="2"/>
      <c r="J22" s="6">
        <f t="shared" si="5"/>
        <v>0</v>
      </c>
      <c r="K22" s="2"/>
      <c r="L22" s="7">
        <f t="shared" si="6"/>
        <v>-3.4734830769231024</v>
      </c>
      <c r="M22" s="2"/>
      <c r="N22" s="6">
        <f t="shared" si="7"/>
        <v>-4.7070322907814335E-2</v>
      </c>
      <c r="O22" s="11"/>
      <c r="P22" s="7">
        <v>647.89</v>
      </c>
      <c r="Q22" s="2"/>
      <c r="R22" s="6">
        <f t="shared" si="8"/>
        <v>0</v>
      </c>
      <c r="S22" s="2"/>
      <c r="T22" s="7">
        <v>639.61833692307721</v>
      </c>
      <c r="U22" s="2"/>
      <c r="V22" s="6">
        <f t="shared" si="9"/>
        <v>0</v>
      </c>
      <c r="W22" s="2"/>
      <c r="X22" s="7">
        <f t="shared" si="10"/>
        <v>8.2716630769227777</v>
      </c>
      <c r="Y22" s="2"/>
      <c r="Z22" s="6">
        <f t="shared" si="11"/>
        <v>1.2932185647950799E-2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6236.66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821.65999999999985</v>
      </c>
      <c r="M23" s="2"/>
      <c r="N23" s="6">
        <f t="shared" si="7"/>
        <v>0.1517377654662973</v>
      </c>
      <c r="O23" s="11"/>
      <c r="P23" s="7">
        <v>47914.6</v>
      </c>
      <c r="Q23" s="2"/>
      <c r="R23" s="6">
        <f t="shared" si="8"/>
        <v>0</v>
      </c>
      <c r="S23" s="2"/>
      <c r="T23" s="7">
        <v>43320</v>
      </c>
      <c r="U23" s="2"/>
      <c r="V23" s="6">
        <f t="shared" si="9"/>
        <v>0</v>
      </c>
      <c r="W23" s="2"/>
      <c r="X23" s="7">
        <f t="shared" si="10"/>
        <v>4594.5999999999985</v>
      </c>
      <c r="Y23" s="2"/>
      <c r="Z23" s="6">
        <f t="shared" si="11"/>
        <v>0.10606186518928898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55.4</v>
      </c>
      <c r="E24" s="2"/>
      <c r="F24" s="6">
        <f t="shared" si="4"/>
        <v>0</v>
      </c>
      <c r="G24" s="2"/>
      <c r="H24" s="7">
        <v>58.140320000000003</v>
      </c>
      <c r="I24" s="2"/>
      <c r="J24" s="6">
        <f t="shared" si="5"/>
        <v>0</v>
      </c>
      <c r="K24" s="2"/>
      <c r="L24" s="7">
        <f t="shared" si="6"/>
        <v>-2.7403200000000041</v>
      </c>
      <c r="M24" s="2"/>
      <c r="N24" s="6">
        <f t="shared" si="7"/>
        <v>-4.713286751775711E-2</v>
      </c>
      <c r="O24" s="11"/>
      <c r="P24" s="7">
        <v>510.43</v>
      </c>
      <c r="Q24" s="2"/>
      <c r="R24" s="6">
        <f t="shared" si="8"/>
        <v>0</v>
      </c>
      <c r="S24" s="2"/>
      <c r="T24" s="7">
        <v>503.94171999999998</v>
      </c>
      <c r="U24" s="2"/>
      <c r="V24" s="6">
        <f t="shared" si="9"/>
        <v>0</v>
      </c>
      <c r="W24" s="2"/>
      <c r="X24" s="7">
        <f t="shared" si="10"/>
        <v>6.4882800000000316</v>
      </c>
      <c r="Y24" s="2"/>
      <c r="Z24" s="6">
        <f t="shared" si="11"/>
        <v>1.2875060235139952E-2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1826.5076923076901</v>
      </c>
      <c r="I25" s="2"/>
      <c r="J25" s="6">
        <f t="shared" si="5"/>
        <v>0</v>
      </c>
      <c r="K25" s="2"/>
      <c r="L25" s="7">
        <f t="shared" si="6"/>
        <v>152.25230769230984</v>
      </c>
      <c r="M25" s="2"/>
      <c r="N25" s="6">
        <f t="shared" si="7"/>
        <v>8.3357058025826089E-2</v>
      </c>
      <c r="O25" s="11"/>
      <c r="P25" s="7">
        <v>18660.150000000001</v>
      </c>
      <c r="Q25" s="2"/>
      <c r="R25" s="6">
        <f t="shared" si="8"/>
        <v>0</v>
      </c>
      <c r="S25" s="2"/>
      <c r="T25" s="7">
        <v>15981.942307692312</v>
      </c>
      <c r="U25" s="2"/>
      <c r="V25" s="6">
        <f t="shared" si="9"/>
        <v>0</v>
      </c>
      <c r="W25" s="2"/>
      <c r="X25" s="7">
        <f t="shared" si="10"/>
        <v>2678.2076923076893</v>
      </c>
      <c r="Y25" s="2"/>
      <c r="Z25" s="6">
        <f t="shared" si="11"/>
        <v>0.16757710926153413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1606.1</v>
      </c>
      <c r="E27" s="2"/>
      <c r="F27" s="6">
        <f t="shared" si="4"/>
        <v>0</v>
      </c>
      <c r="G27" s="2"/>
      <c r="H27" s="7">
        <v>1061.9230769230799</v>
      </c>
      <c r="I27" s="2"/>
      <c r="J27" s="6">
        <f t="shared" si="5"/>
        <v>0</v>
      </c>
      <c r="K27" s="2"/>
      <c r="L27" s="7">
        <f t="shared" si="6"/>
        <v>544.17692307692005</v>
      </c>
      <c r="M27" s="2"/>
      <c r="N27" s="6">
        <f t="shared" si="7"/>
        <v>0.51244476638898517</v>
      </c>
      <c r="O27" s="11"/>
      <c r="P27" s="7">
        <v>13309.87</v>
      </c>
      <c r="Q27" s="2"/>
      <c r="R27" s="6">
        <f t="shared" si="8"/>
        <v>0</v>
      </c>
      <c r="S27" s="2"/>
      <c r="T27" s="7">
        <v>9291.8269230769511</v>
      </c>
      <c r="U27" s="2"/>
      <c r="V27" s="6">
        <f t="shared" si="9"/>
        <v>0</v>
      </c>
      <c r="W27" s="2"/>
      <c r="X27" s="7">
        <f t="shared" si="10"/>
        <v>4018.0430769230497</v>
      </c>
      <c r="Y27" s="2"/>
      <c r="Z27" s="6">
        <f t="shared" si="11"/>
        <v>0.432427671133643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979.42</v>
      </c>
      <c r="E28" s="2"/>
      <c r="F28" s="6">
        <f t="shared" si="4"/>
        <v>0</v>
      </c>
      <c r="G28" s="2"/>
      <c r="H28" s="7">
        <v>1061.9230769230799</v>
      </c>
      <c r="I28" s="2"/>
      <c r="J28" s="6">
        <f t="shared" si="5"/>
        <v>0</v>
      </c>
      <c r="K28" s="2"/>
      <c r="L28" s="7">
        <f t="shared" si="6"/>
        <v>-82.503076923079902</v>
      </c>
      <c r="M28" s="2"/>
      <c r="N28" s="6">
        <f t="shared" si="7"/>
        <v>-7.7692140528796499E-2</v>
      </c>
      <c r="O28" s="11"/>
      <c r="P28" s="7">
        <v>8325.07</v>
      </c>
      <c r="Q28" s="2"/>
      <c r="R28" s="6">
        <f t="shared" si="8"/>
        <v>0</v>
      </c>
      <c r="S28" s="2"/>
      <c r="T28" s="7">
        <v>9291.8269230769511</v>
      </c>
      <c r="U28" s="2"/>
      <c r="V28" s="6">
        <f t="shared" si="9"/>
        <v>0</v>
      </c>
      <c r="W28" s="2"/>
      <c r="X28" s="7">
        <f t="shared" si="10"/>
        <v>-966.75692307695135</v>
      </c>
      <c r="Y28" s="2"/>
      <c r="Z28" s="6">
        <f t="shared" si="11"/>
        <v>-0.1040437936565454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236.34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-463.65999999999997</v>
      </c>
      <c r="M29" s="2"/>
      <c r="N29" s="6">
        <f t="shared" si="7"/>
        <v>-0.6623714285714285</v>
      </c>
      <c r="O29" s="11"/>
      <c r="P29" s="7">
        <v>1862.16</v>
      </c>
      <c r="Q29" s="2"/>
      <c r="R29" s="6">
        <f t="shared" si="8"/>
        <v>0</v>
      </c>
      <c r="S29" s="2"/>
      <c r="T29" s="7">
        <v>4520</v>
      </c>
      <c r="U29" s="2"/>
      <c r="V29" s="6">
        <f t="shared" si="9"/>
        <v>0</v>
      </c>
      <c r="W29" s="2"/>
      <c r="X29" s="7">
        <f t="shared" si="10"/>
        <v>-2657.84</v>
      </c>
      <c r="Y29" s="2"/>
      <c r="Z29" s="6">
        <f t="shared" si="11"/>
        <v>-0.58801769911504431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20037.190000000002</v>
      </c>
      <c r="E30" s="1"/>
      <c r="F30" s="5">
        <f t="shared" ref="F30:F40" si="12">IF(D$12=0,0,D30/D$12)</f>
        <v>0</v>
      </c>
      <c r="G30" s="1"/>
      <c r="H30" s="1">
        <f>SUM(OSRRefH22_1x_0)</f>
        <v>20237.815384615431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-200.62538461542863</v>
      </c>
      <c r="M30" s="1"/>
      <c r="N30" s="5">
        <f t="shared" ref="N30:N40" si="15">IF(H30=0,0,L30/H30)</f>
        <v>-9.9133913815589933E-3</v>
      </c>
      <c r="O30" s="14"/>
      <c r="P30" s="1">
        <f>SUM(OSRRefP22_1x_0)</f>
        <v>171713.31000000003</v>
      </c>
      <c r="Q30" s="1"/>
      <c r="R30" s="5">
        <f t="shared" ref="R30:R40" si="16">IF(P$12=0,0,P30/P$12)</f>
        <v>0</v>
      </c>
      <c r="S30" s="1"/>
      <c r="T30" s="1">
        <f>SUM(OSRRefT22_1x_0)</f>
        <v>175240.0846153849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-3526.7746153848711</v>
      </c>
      <c r="Y30" s="1"/>
      <c r="Z30" s="5">
        <f t="shared" ref="Z30:Z40" si="19">IF(T30=0,0,X30/T30)</f>
        <v>-2.012538753975952E-2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5420.7692307692296</v>
      </c>
      <c r="I31" s="2"/>
      <c r="J31" s="6">
        <f t="shared" si="13"/>
        <v>0</v>
      </c>
      <c r="K31" s="2"/>
      <c r="L31" s="7">
        <f t="shared" si="14"/>
        <v>-5420.7692307692296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47431.730769230773</v>
      </c>
      <c r="U31" s="2"/>
      <c r="V31" s="6">
        <f t="shared" si="17"/>
        <v>0</v>
      </c>
      <c r="W31" s="2"/>
      <c r="X31" s="7">
        <f t="shared" si="18"/>
        <v>-47431.730769230773</v>
      </c>
      <c r="Y31" s="2"/>
      <c r="Z31" s="6">
        <f t="shared" si="19"/>
        <v>-1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20037.190000000002</v>
      </c>
      <c r="E32" s="2"/>
      <c r="F32" s="6">
        <f t="shared" si="12"/>
        <v>0</v>
      </c>
      <c r="G32" s="2"/>
      <c r="H32" s="7">
        <v>13693.846153846202</v>
      </c>
      <c r="I32" s="2"/>
      <c r="J32" s="6">
        <f t="shared" si="13"/>
        <v>0</v>
      </c>
      <c r="K32" s="2"/>
      <c r="L32" s="7">
        <f t="shared" si="14"/>
        <v>6343.3438461538008</v>
      </c>
      <c r="M32" s="2"/>
      <c r="N32" s="6">
        <f t="shared" si="15"/>
        <v>0.46322587349735495</v>
      </c>
      <c r="O32" s="11"/>
      <c r="P32" s="7">
        <v>171331.55000000002</v>
      </c>
      <c r="Q32" s="2"/>
      <c r="R32" s="6">
        <f t="shared" si="16"/>
        <v>0</v>
      </c>
      <c r="S32" s="2"/>
      <c r="T32" s="7">
        <v>119821.15384615411</v>
      </c>
      <c r="U32" s="2"/>
      <c r="V32" s="6">
        <f t="shared" si="17"/>
        <v>0</v>
      </c>
      <c r="W32" s="2"/>
      <c r="X32" s="7">
        <f t="shared" si="18"/>
        <v>51510.396153845912</v>
      </c>
      <c r="Y32" s="2"/>
      <c r="Z32" s="6">
        <f t="shared" si="19"/>
        <v>0.42989400869885913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1123.2</v>
      </c>
      <c r="I38" s="2"/>
      <c r="J38" s="6">
        <f t="shared" si="13"/>
        <v>0</v>
      </c>
      <c r="K38" s="2"/>
      <c r="L38" s="7">
        <f t="shared" si="14"/>
        <v>-1123.2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7987.2</v>
      </c>
      <c r="U38" s="2"/>
      <c r="V38" s="6">
        <f t="shared" si="17"/>
        <v>0</v>
      </c>
      <c r="W38" s="2"/>
      <c r="X38" s="7">
        <f t="shared" si="18"/>
        <v>-7987.2</v>
      </c>
      <c r="Y38" s="2"/>
      <c r="Z38" s="6">
        <f t="shared" si="19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9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12471.04</v>
      </c>
      <c r="Q41" s="1"/>
      <c r="R41" s="5">
        <f t="shared" ref="R41:R47" si="24">IF(P$12=0,0,P41/P$12)</f>
        <v>0</v>
      </c>
      <c r="S41" s="1"/>
      <c r="T41" s="1">
        <f>SUM(OSRRefT22_2x_0)</f>
        <v>12472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-0.95999999999912689</v>
      </c>
      <c r="Y41" s="1"/>
      <c r="Z41" s="5">
        <f t="shared" ref="Z41:Z47" si="27">IF(T41=0,0,X41/T41)</f>
        <v>-7.6972418216735637E-5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12471.04</v>
      </c>
      <c r="Q42" s="2"/>
      <c r="R42" s="6">
        <f t="shared" si="24"/>
        <v>0</v>
      </c>
      <c r="S42" s="2"/>
      <c r="T42" s="7">
        <v>12472</v>
      </c>
      <c r="U42" s="2"/>
      <c r="V42" s="6">
        <f t="shared" si="25"/>
        <v>0</v>
      </c>
      <c r="W42" s="2"/>
      <c r="X42" s="7">
        <f t="shared" si="26"/>
        <v>-0.95999999999912689</v>
      </c>
      <c r="Y42" s="2"/>
      <c r="Z42" s="6">
        <f t="shared" si="27"/>
        <v>-7.6972418216735637E-5</v>
      </c>
    </row>
    <row r="43" spans="1:26" s="28" customFormat="1" outlineLevel="1" collapsed="1" x14ac:dyDescent="0.25">
      <c r="A43" s="29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730.08</v>
      </c>
      <c r="Q43" s="1"/>
      <c r="R43" s="5">
        <f t="shared" si="24"/>
        <v>0</v>
      </c>
      <c r="S43" s="1"/>
      <c r="T43" s="1">
        <f>SUM(OSRRefT22_3x_0)</f>
        <v>728</v>
      </c>
      <c r="U43" s="1"/>
      <c r="V43" s="5">
        <f t="shared" si="25"/>
        <v>0</v>
      </c>
      <c r="W43" s="1"/>
      <c r="X43" s="1">
        <f t="shared" si="26"/>
        <v>2.0800000000000409</v>
      </c>
      <c r="Y43" s="1"/>
      <c r="Z43" s="5">
        <f t="shared" si="27"/>
        <v>2.8571428571429135E-3</v>
      </c>
    </row>
    <row r="44" spans="1:26" s="24" customFormat="1" hidden="1" outlineLevel="2" x14ac:dyDescent="0.25">
      <c r="A44" s="27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730.08</v>
      </c>
      <c r="Q44" s="2"/>
      <c r="R44" s="6">
        <f t="shared" si="24"/>
        <v>0</v>
      </c>
      <c r="S44" s="2"/>
      <c r="T44" s="7">
        <v>728</v>
      </c>
      <c r="U44" s="2"/>
      <c r="V44" s="6">
        <f t="shared" si="25"/>
        <v>0</v>
      </c>
      <c r="W44" s="2"/>
      <c r="X44" s="7">
        <f t="shared" si="26"/>
        <v>2.0800000000000409</v>
      </c>
      <c r="Y44" s="2"/>
      <c r="Z44" s="6">
        <f t="shared" si="27"/>
        <v>2.8571428571429135E-3</v>
      </c>
    </row>
    <row r="45" spans="1:26" s="28" customFormat="1" outlineLevel="1" collapsed="1" x14ac:dyDescent="0.25">
      <c r="A45" s="29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16.829999999999998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-83.17</v>
      </c>
      <c r="M45" s="1"/>
      <c r="N45" s="5">
        <f t="shared" si="23"/>
        <v>-0.83169999999999999</v>
      </c>
      <c r="O45" s="14"/>
      <c r="P45" s="1">
        <f>SUM(OSRRefP22_4x_0)</f>
        <v>734.96999999999991</v>
      </c>
      <c r="Q45" s="1"/>
      <c r="R45" s="5">
        <f t="shared" si="24"/>
        <v>0</v>
      </c>
      <c r="S45" s="1"/>
      <c r="T45" s="1">
        <f>SUM(OSRRefT22_4x_0)</f>
        <v>800</v>
      </c>
      <c r="U45" s="1"/>
      <c r="V45" s="5">
        <f t="shared" si="25"/>
        <v>0</v>
      </c>
      <c r="W45" s="1"/>
      <c r="X45" s="1">
        <f t="shared" si="26"/>
        <v>-65.030000000000086</v>
      </c>
      <c r="Y45" s="1"/>
      <c r="Z45" s="5">
        <f t="shared" si="27"/>
        <v>-8.128750000000011E-2</v>
      </c>
    </row>
    <row r="46" spans="1:26" s="24" customFormat="1" hidden="1" outlineLevel="2" x14ac:dyDescent="0.25">
      <c r="A46" s="27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7">
        <v>16.829999999999998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-83.17</v>
      </c>
      <c r="M47" s="2"/>
      <c r="N47" s="6">
        <f t="shared" si="23"/>
        <v>-0.83169999999999999</v>
      </c>
      <c r="O47" s="11"/>
      <c r="P47" s="7">
        <v>729.56</v>
      </c>
      <c r="Q47" s="2"/>
      <c r="R47" s="6">
        <f t="shared" si="24"/>
        <v>0</v>
      </c>
      <c r="S47" s="2"/>
      <c r="T47" s="7">
        <v>800</v>
      </c>
      <c r="U47" s="2"/>
      <c r="V47" s="6">
        <f t="shared" si="25"/>
        <v>0</v>
      </c>
      <c r="W47" s="2"/>
      <c r="X47" s="7">
        <f t="shared" si="26"/>
        <v>-70.440000000000055</v>
      </c>
      <c r="Y47" s="2"/>
      <c r="Z47" s="6">
        <f t="shared" si="27"/>
        <v>-8.8050000000000073E-2</v>
      </c>
    </row>
    <row r="48" spans="1:26" s="28" customFormat="1" outlineLevel="1" collapsed="1" x14ac:dyDescent="0.25">
      <c r="A48" s="29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5" si="28">IF(D$12=0,0,D48/D$12)</f>
        <v>0</v>
      </c>
      <c r="G48" s="1"/>
      <c r="H48" s="1">
        <f>SUM(OSRRefH22_5x_0)</f>
        <v>145</v>
      </c>
      <c r="I48" s="1"/>
      <c r="J48" s="5">
        <f t="shared" ref="J48:J55" si="29">IF(H$12=0,0,H48/H$12)</f>
        <v>0</v>
      </c>
      <c r="K48" s="1"/>
      <c r="L48" s="1">
        <f t="shared" ref="L48:L55" si="30">+D48-H48</f>
        <v>-12.830000000000013</v>
      </c>
      <c r="M48" s="1"/>
      <c r="N48" s="5">
        <f t="shared" ref="N48:N55" si="31">IF(H48=0,0,L48/H48)</f>
        <v>-8.8482758620689744E-2</v>
      </c>
      <c r="O48" s="14"/>
      <c r="P48" s="1">
        <f>SUM(OSRRefP22_5x_0)</f>
        <v>1057.3599999999999</v>
      </c>
      <c r="Q48" s="1"/>
      <c r="R48" s="5">
        <f t="shared" ref="R48:R55" si="32">IF(P$12=0,0,P48/P$12)</f>
        <v>0</v>
      </c>
      <c r="S48" s="1"/>
      <c r="T48" s="1">
        <f>SUM(OSRRefT22_5x_0)</f>
        <v>1160</v>
      </c>
      <c r="U48" s="1"/>
      <c r="V48" s="5">
        <f t="shared" ref="V48:V55" si="33">IF(T$12=0,0,T48/T$12)</f>
        <v>0</v>
      </c>
      <c r="W48" s="1"/>
      <c r="X48" s="1">
        <f t="shared" ref="X48:X55" si="34">+P48-T48</f>
        <v>-102.6400000000001</v>
      </c>
      <c r="Y48" s="1"/>
      <c r="Z48" s="5">
        <f t="shared" ref="Z48:Z55" si="35">IF(T48=0,0,X48/T48)</f>
        <v>-8.8482758620689744E-2</v>
      </c>
    </row>
    <row r="49" spans="1:26" s="24" customFormat="1" hidden="1" outlineLevel="2" x14ac:dyDescent="0.25">
      <c r="A49" s="27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1057.3599999999999</v>
      </c>
      <c r="Q49" s="2"/>
      <c r="R49" s="6">
        <f t="shared" si="32"/>
        <v>0</v>
      </c>
      <c r="S49" s="2"/>
      <c r="T49" s="7">
        <v>1160</v>
      </c>
      <c r="U49" s="2"/>
      <c r="V49" s="6">
        <f t="shared" si="33"/>
        <v>0</v>
      </c>
      <c r="W49" s="2"/>
      <c r="X49" s="7">
        <f t="shared" si="34"/>
        <v>-102.6400000000001</v>
      </c>
      <c r="Y49" s="2"/>
      <c r="Z49" s="6">
        <f t="shared" si="35"/>
        <v>-8.8482758620689744E-2</v>
      </c>
    </row>
    <row r="50" spans="1:26" s="28" customFormat="1" outlineLevel="1" collapsed="1" x14ac:dyDescent="0.25">
      <c r="A50" s="29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2000</v>
      </c>
      <c r="U50" s="1"/>
      <c r="V50" s="5">
        <f t="shared" si="33"/>
        <v>0</v>
      </c>
      <c r="W50" s="1"/>
      <c r="X50" s="1">
        <f t="shared" si="34"/>
        <v>-2000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2000</v>
      </c>
      <c r="U51" s="2"/>
      <c r="V51" s="6">
        <f t="shared" si="33"/>
        <v>0</v>
      </c>
      <c r="W51" s="2"/>
      <c r="X51" s="7">
        <f t="shared" si="34"/>
        <v>-2000</v>
      </c>
      <c r="Y51" s="2"/>
      <c r="Z51" s="6">
        <f t="shared" si="35"/>
        <v>-1</v>
      </c>
    </row>
    <row r="52" spans="1:26" s="28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11459.94</v>
      </c>
      <c r="E52" s="1"/>
      <c r="F52" s="5">
        <f t="shared" si="28"/>
        <v>0</v>
      </c>
      <c r="G52" s="1"/>
      <c r="H52" s="1">
        <f>SUM(OSRRefH22_7x_0)</f>
        <v>11360</v>
      </c>
      <c r="I52" s="1"/>
      <c r="J52" s="5">
        <f t="shared" si="29"/>
        <v>0</v>
      </c>
      <c r="K52" s="1"/>
      <c r="L52" s="1">
        <f t="shared" si="30"/>
        <v>99.940000000000509</v>
      </c>
      <c r="M52" s="1"/>
      <c r="N52" s="5">
        <f t="shared" si="31"/>
        <v>8.7975352112676496E-3</v>
      </c>
      <c r="O52" s="14"/>
      <c r="P52" s="1">
        <f>SUM(OSRRefP22_7x_0)</f>
        <v>17076.969999999998</v>
      </c>
      <c r="Q52" s="1"/>
      <c r="R52" s="5">
        <f t="shared" si="32"/>
        <v>0</v>
      </c>
      <c r="S52" s="1"/>
      <c r="T52" s="1">
        <f>SUM(OSRRefT22_7x_0)</f>
        <v>16230</v>
      </c>
      <c r="U52" s="1"/>
      <c r="V52" s="5">
        <f t="shared" si="33"/>
        <v>0</v>
      </c>
      <c r="W52" s="1"/>
      <c r="X52" s="1">
        <f t="shared" si="34"/>
        <v>846.96999999999753</v>
      </c>
      <c r="Y52" s="1"/>
      <c r="Z52" s="5">
        <f t="shared" si="35"/>
        <v>5.2185459026493991E-2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11325.82</v>
      </c>
      <c r="E53" s="2"/>
      <c r="F53" s="6">
        <f t="shared" si="28"/>
        <v>0</v>
      </c>
      <c r="G53" s="2"/>
      <c r="H53" s="7">
        <v>11360</v>
      </c>
      <c r="I53" s="2"/>
      <c r="J53" s="6">
        <f t="shared" si="29"/>
        <v>0</v>
      </c>
      <c r="K53" s="2"/>
      <c r="L53" s="7">
        <f t="shared" si="30"/>
        <v>-34.180000000000291</v>
      </c>
      <c r="M53" s="2"/>
      <c r="N53" s="6">
        <f t="shared" si="31"/>
        <v>-3.0088028169014342E-3</v>
      </c>
      <c r="O53" s="11"/>
      <c r="P53" s="7">
        <v>12281.72</v>
      </c>
      <c r="Q53" s="2"/>
      <c r="R53" s="6">
        <f t="shared" si="32"/>
        <v>0</v>
      </c>
      <c r="S53" s="2"/>
      <c r="T53" s="7">
        <v>11780</v>
      </c>
      <c r="U53" s="2"/>
      <c r="V53" s="6">
        <f t="shared" si="33"/>
        <v>0</v>
      </c>
      <c r="W53" s="2"/>
      <c r="X53" s="7">
        <f t="shared" si="34"/>
        <v>501.71999999999935</v>
      </c>
      <c r="Y53" s="2"/>
      <c r="Z53" s="6">
        <f t="shared" si="35"/>
        <v>4.2590831918505885E-2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7">
        <v>7.1</v>
      </c>
      <c r="E54" s="2"/>
      <c r="F54" s="6">
        <f t="shared" si="28"/>
        <v>0</v>
      </c>
      <c r="G54" s="2"/>
      <c r="H54" s="7"/>
      <c r="I54" s="2"/>
      <c r="J54" s="6">
        <f t="shared" si="29"/>
        <v>0</v>
      </c>
      <c r="K54" s="2"/>
      <c r="L54" s="7">
        <f t="shared" si="30"/>
        <v>7.1</v>
      </c>
      <c r="M54" s="2"/>
      <c r="N54" s="6">
        <f t="shared" si="31"/>
        <v>0</v>
      </c>
      <c r="O54" s="11"/>
      <c r="P54" s="7">
        <v>4668.2299999999996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218.22999999999956</v>
      </c>
      <c r="Y54" s="2"/>
      <c r="Z54" s="6">
        <f t="shared" si="35"/>
        <v>4.9040449438202148E-2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>
        <v>127.02</v>
      </c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127.02</v>
      </c>
      <c r="M55" s="2"/>
      <c r="N55" s="6">
        <f t="shared" si="31"/>
        <v>0</v>
      </c>
      <c r="O55" s="11"/>
      <c r="P55" s="7">
        <v>127.02</v>
      </c>
      <c r="Q55" s="2"/>
      <c r="R55" s="6">
        <f t="shared" si="32"/>
        <v>0</v>
      </c>
      <c r="S55" s="2"/>
      <c r="T55" s="7"/>
      <c r="U55" s="2"/>
      <c r="V55" s="6">
        <f t="shared" si="33"/>
        <v>0</v>
      </c>
      <c r="W55" s="2"/>
      <c r="X55" s="7">
        <f t="shared" si="34"/>
        <v>127.02</v>
      </c>
      <c r="Y55" s="2"/>
      <c r="Z55" s="6">
        <f t="shared" si="35"/>
        <v>0</v>
      </c>
    </row>
    <row r="56" spans="1:26" s="28" customFormat="1" outlineLevel="1" collapsed="1" x14ac:dyDescent="0.25">
      <c r="A56" s="29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SUM(OSRRefD22_8x_0)</f>
        <v>621.34</v>
      </c>
      <c r="E56" s="1"/>
      <c r="F56" s="5">
        <f t="shared" ref="F56:F61" si="36">IF(D$12=0,0,D56/D$12)</f>
        <v>0</v>
      </c>
      <c r="G56" s="1"/>
      <c r="H56" s="1">
        <f>SUM(OSRRefH22_8x_0)</f>
        <v>500</v>
      </c>
      <c r="I56" s="1"/>
      <c r="J56" s="5">
        <f t="shared" ref="J56:J61" si="37">IF(H$12=0,0,H56/H$12)</f>
        <v>0</v>
      </c>
      <c r="K56" s="1"/>
      <c r="L56" s="1">
        <f t="shared" ref="L56:L61" si="38">+D56-H56</f>
        <v>121.34000000000003</v>
      </c>
      <c r="M56" s="1"/>
      <c r="N56" s="5">
        <f t="shared" ref="N56:N61" si="39">IF(H56=0,0,L56/H56)</f>
        <v>0.24268000000000006</v>
      </c>
      <c r="O56" s="14"/>
      <c r="P56" s="1">
        <f>SUM(OSRRefP22_8x_0)</f>
        <v>4329.0200000000004</v>
      </c>
      <c r="Q56" s="1"/>
      <c r="R56" s="5">
        <f t="shared" ref="R56:R61" si="40">IF(P$12=0,0,P56/P$12)</f>
        <v>0</v>
      </c>
      <c r="S56" s="1"/>
      <c r="T56" s="1">
        <f>SUM(OSRRefT22_8x_0)</f>
        <v>4000</v>
      </c>
      <c r="U56" s="1"/>
      <c r="V56" s="5">
        <f t="shared" ref="V56:V61" si="41">IF(T$12=0,0,T56/T$12)</f>
        <v>0</v>
      </c>
      <c r="W56" s="1"/>
      <c r="X56" s="1">
        <f t="shared" ref="X56:X61" si="42">+P56-T56</f>
        <v>329.02000000000044</v>
      </c>
      <c r="Y56" s="1"/>
      <c r="Z56" s="5">
        <f t="shared" ref="Z56:Z61" si="43">IF(T56=0,0,X56/T56)</f>
        <v>8.2255000000000106E-2</v>
      </c>
    </row>
    <row r="57" spans="1:26" s="24" customFormat="1" hidden="1" outlineLevel="2" x14ac:dyDescent="0.25">
      <c r="A57" s="27"/>
      <c r="B57" s="11" t="str">
        <f>CONCATENATE("          ", "6281", " - ", "STORAGE FEE")</f>
        <v xml:space="preserve">          6281 - STORAGE FEE</v>
      </c>
      <c r="C57" s="11"/>
      <c r="D57" s="7">
        <v>621.34</v>
      </c>
      <c r="E57" s="2"/>
      <c r="F57" s="6">
        <f t="shared" si="36"/>
        <v>0</v>
      </c>
      <c r="G57" s="2"/>
      <c r="H57" s="7">
        <v>500</v>
      </c>
      <c r="I57" s="2"/>
      <c r="J57" s="6">
        <f t="shared" si="37"/>
        <v>0</v>
      </c>
      <c r="K57" s="2"/>
      <c r="L57" s="7">
        <f t="shared" si="38"/>
        <v>121.34000000000003</v>
      </c>
      <c r="M57" s="2"/>
      <c r="N57" s="6">
        <f t="shared" si="39"/>
        <v>0.24268000000000006</v>
      </c>
      <c r="O57" s="11"/>
      <c r="P57" s="7">
        <v>4329.0200000000004</v>
      </c>
      <c r="Q57" s="2"/>
      <c r="R57" s="6">
        <f t="shared" si="40"/>
        <v>0</v>
      </c>
      <c r="S57" s="2"/>
      <c r="T57" s="7">
        <v>4000</v>
      </c>
      <c r="U57" s="2"/>
      <c r="V57" s="6">
        <f t="shared" si="41"/>
        <v>0</v>
      </c>
      <c r="W57" s="2"/>
      <c r="X57" s="7">
        <f t="shared" si="42"/>
        <v>329.02000000000044</v>
      </c>
      <c r="Y57" s="2"/>
      <c r="Z57" s="6">
        <f t="shared" si="43"/>
        <v>8.2255000000000106E-2</v>
      </c>
    </row>
    <row r="58" spans="1:26" s="28" customFormat="1" outlineLevel="1" collapsed="1" x14ac:dyDescent="0.25">
      <c r="A58" s="29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1241.08</v>
      </c>
      <c r="E58" s="1"/>
      <c r="F58" s="5">
        <f t="shared" si="36"/>
        <v>0</v>
      </c>
      <c r="G58" s="1"/>
      <c r="H58" s="1">
        <f>SUM(OSRRefH22_9x_0)</f>
        <v>200</v>
      </c>
      <c r="I58" s="1"/>
      <c r="J58" s="5">
        <f t="shared" si="37"/>
        <v>0</v>
      </c>
      <c r="K58" s="1"/>
      <c r="L58" s="1">
        <f t="shared" si="38"/>
        <v>1041.08</v>
      </c>
      <c r="M58" s="1"/>
      <c r="N58" s="5">
        <f t="shared" si="39"/>
        <v>5.2054</v>
      </c>
      <c r="O58" s="14"/>
      <c r="P58" s="1">
        <f>SUM(OSRRefP22_9x_0)</f>
        <v>2023.97</v>
      </c>
      <c r="Q58" s="1"/>
      <c r="R58" s="5">
        <f t="shared" si="40"/>
        <v>0</v>
      </c>
      <c r="S58" s="1"/>
      <c r="T58" s="1">
        <f>SUM(OSRRefT22_9x_0)</f>
        <v>11184</v>
      </c>
      <c r="U58" s="1"/>
      <c r="V58" s="5">
        <f t="shared" si="41"/>
        <v>0</v>
      </c>
      <c r="W58" s="1"/>
      <c r="X58" s="1">
        <f t="shared" si="42"/>
        <v>-9160.0300000000007</v>
      </c>
      <c r="Y58" s="1"/>
      <c r="Z58" s="5">
        <f t="shared" si="43"/>
        <v>-0.81902986409155942</v>
      </c>
    </row>
    <row r="59" spans="1:26" s="24" customFormat="1" hidden="1" outlineLevel="2" x14ac:dyDescent="0.25">
      <c r="A59" s="27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9584</v>
      </c>
      <c r="U59" s="2"/>
      <c r="V59" s="6">
        <f t="shared" si="41"/>
        <v>0</v>
      </c>
      <c r="W59" s="2"/>
      <c r="X59" s="7">
        <f t="shared" si="42"/>
        <v>-9584</v>
      </c>
      <c r="Y59" s="2"/>
      <c r="Z59" s="6">
        <f t="shared" si="43"/>
        <v>-1</v>
      </c>
    </row>
    <row r="60" spans="1:26" s="24" customFormat="1" hidden="1" outlineLevel="2" x14ac:dyDescent="0.25">
      <c r="A60" s="27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426.66</v>
      </c>
      <c r="Q60" s="2"/>
      <c r="R60" s="6">
        <f t="shared" si="40"/>
        <v>0</v>
      </c>
      <c r="S60" s="2"/>
      <c r="T60" s="7"/>
      <c r="U60" s="2"/>
      <c r="V60" s="6">
        <f t="shared" si="41"/>
        <v>0</v>
      </c>
      <c r="W60" s="2"/>
      <c r="X60" s="7">
        <f t="shared" si="42"/>
        <v>426.66</v>
      </c>
      <c r="Y60" s="2"/>
      <c r="Z60" s="6">
        <f t="shared" si="43"/>
        <v>0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7">
        <v>1241.08</v>
      </c>
      <c r="E61" s="2"/>
      <c r="F61" s="6">
        <f t="shared" si="36"/>
        <v>0</v>
      </c>
      <c r="G61" s="2"/>
      <c r="H61" s="7">
        <v>200</v>
      </c>
      <c r="I61" s="2"/>
      <c r="J61" s="6">
        <f t="shared" si="37"/>
        <v>0</v>
      </c>
      <c r="K61" s="2"/>
      <c r="L61" s="7">
        <f t="shared" si="38"/>
        <v>1041.08</v>
      </c>
      <c r="M61" s="2"/>
      <c r="N61" s="6">
        <f t="shared" si="39"/>
        <v>5.2054</v>
      </c>
      <c r="O61" s="11"/>
      <c r="P61" s="7">
        <v>1597.31</v>
      </c>
      <c r="Q61" s="2"/>
      <c r="R61" s="6">
        <f t="shared" si="40"/>
        <v>0</v>
      </c>
      <c r="S61" s="2"/>
      <c r="T61" s="7">
        <v>1600</v>
      </c>
      <c r="U61" s="2"/>
      <c r="V61" s="6">
        <f t="shared" si="41"/>
        <v>0</v>
      </c>
      <c r="W61" s="2"/>
      <c r="X61" s="7">
        <f t="shared" si="42"/>
        <v>-2.6900000000000546</v>
      </c>
      <c r="Y61" s="2"/>
      <c r="Z61" s="6">
        <f t="shared" si="43"/>
        <v>-1.6812500000000341E-3</v>
      </c>
    </row>
    <row r="62" spans="1:26" s="28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SUM(OSRRefD22_10x_0)</f>
        <v>1582.22</v>
      </c>
      <c r="E62" s="1"/>
      <c r="F62" s="5">
        <f t="shared" ref="F62:F67" si="44">IF(D$12=0,0,D62/D$12)</f>
        <v>0</v>
      </c>
      <c r="G62" s="1"/>
      <c r="H62" s="1">
        <f>SUM(OSRRefH22_10x_0)</f>
        <v>375</v>
      </c>
      <c r="I62" s="1"/>
      <c r="J62" s="5">
        <f t="shared" ref="J62:J67" si="45">IF(H$12=0,0,H62/H$12)</f>
        <v>0</v>
      </c>
      <c r="K62" s="1"/>
      <c r="L62" s="1">
        <f t="shared" ref="L62:L67" si="46">+D62-H62</f>
        <v>1207.22</v>
      </c>
      <c r="M62" s="1"/>
      <c r="N62" s="5">
        <f t="shared" ref="N62:N67" si="47">IF(H62=0,0,L62/H62)</f>
        <v>3.2192533333333335</v>
      </c>
      <c r="O62" s="14"/>
      <c r="P62" s="1">
        <f>SUM(OSRRefP22_10x_0)</f>
        <v>4460.38</v>
      </c>
      <c r="Q62" s="1"/>
      <c r="R62" s="5">
        <f t="shared" ref="R62:R67" si="48">IF(P$12=0,0,P62/P$12)</f>
        <v>0</v>
      </c>
      <c r="S62" s="1"/>
      <c r="T62" s="1">
        <f>SUM(OSRRefT22_10x_0)</f>
        <v>3000</v>
      </c>
      <c r="U62" s="1"/>
      <c r="V62" s="5">
        <f t="shared" ref="V62:V67" si="49">IF(T$12=0,0,T62/T$12)</f>
        <v>0</v>
      </c>
      <c r="W62" s="1"/>
      <c r="X62" s="1">
        <f t="shared" ref="X62:X67" si="50">+P62-T62</f>
        <v>1460.38</v>
      </c>
      <c r="Y62" s="1"/>
      <c r="Z62" s="5">
        <f t="shared" ref="Z62:Z67" si="51">IF(T62=0,0,X62/T62)</f>
        <v>0.48679333333333336</v>
      </c>
    </row>
    <row r="63" spans="1:26" s="24" customFormat="1" hidden="1" outlineLevel="2" x14ac:dyDescent="0.25">
      <c r="A63" s="27"/>
      <c r="B63" s="11" t="str">
        <f>CONCATENATE("          ", "6309", " - ", "TELEPHONE")</f>
        <v xml:space="preserve">          6309 - TELEPHONE</v>
      </c>
      <c r="C63" s="11"/>
      <c r="D63" s="7">
        <v>1582.22</v>
      </c>
      <c r="E63" s="2"/>
      <c r="F63" s="6">
        <f t="shared" si="44"/>
        <v>0</v>
      </c>
      <c r="G63" s="2"/>
      <c r="H63" s="7">
        <v>375</v>
      </c>
      <c r="I63" s="2"/>
      <c r="J63" s="6">
        <f t="shared" si="45"/>
        <v>0</v>
      </c>
      <c r="K63" s="2"/>
      <c r="L63" s="7">
        <f t="shared" si="46"/>
        <v>1207.22</v>
      </c>
      <c r="M63" s="2"/>
      <c r="N63" s="6">
        <f t="shared" si="47"/>
        <v>3.2192533333333335</v>
      </c>
      <c r="O63" s="11"/>
      <c r="P63" s="7">
        <v>4460.38</v>
      </c>
      <c r="Q63" s="2"/>
      <c r="R63" s="6">
        <f t="shared" si="48"/>
        <v>0</v>
      </c>
      <c r="S63" s="2"/>
      <c r="T63" s="7">
        <v>3000</v>
      </c>
      <c r="U63" s="2"/>
      <c r="V63" s="6">
        <f t="shared" si="49"/>
        <v>0</v>
      </c>
      <c r="W63" s="2"/>
      <c r="X63" s="7">
        <f t="shared" si="50"/>
        <v>1460.38</v>
      </c>
      <c r="Y63" s="2"/>
      <c r="Z63" s="6">
        <f t="shared" si="51"/>
        <v>0.48679333333333336</v>
      </c>
    </row>
    <row r="64" spans="1:26" s="28" customFormat="1" outlineLevel="1" collapsed="1" x14ac:dyDescent="0.25">
      <c r="A64" s="29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SUM(OSRRefD22_11x_0)</f>
        <v>0</v>
      </c>
      <c r="E64" s="1"/>
      <c r="F64" s="5">
        <f t="shared" si="44"/>
        <v>0</v>
      </c>
      <c r="G64" s="1"/>
      <c r="H64" s="1">
        <f>SUM(OSRRefH22_11x_0)</f>
        <v>250</v>
      </c>
      <c r="I64" s="1"/>
      <c r="J64" s="5">
        <f t="shared" si="45"/>
        <v>0</v>
      </c>
      <c r="K64" s="1"/>
      <c r="L64" s="1">
        <f t="shared" si="46"/>
        <v>-250</v>
      </c>
      <c r="M64" s="1"/>
      <c r="N64" s="5">
        <f t="shared" si="47"/>
        <v>-1</v>
      </c>
      <c r="O64" s="14"/>
      <c r="P64" s="1">
        <f>SUM(OSRRefP22_11x_0)</f>
        <v>548</v>
      </c>
      <c r="Q64" s="1"/>
      <c r="R64" s="5">
        <f t="shared" si="48"/>
        <v>0</v>
      </c>
      <c r="S64" s="1"/>
      <c r="T64" s="1">
        <f>SUM(OSRRefT22_11x_0)</f>
        <v>1750</v>
      </c>
      <c r="U64" s="1"/>
      <c r="V64" s="5">
        <f t="shared" si="49"/>
        <v>0</v>
      </c>
      <c r="W64" s="1"/>
      <c r="X64" s="1">
        <f t="shared" si="50"/>
        <v>-1202</v>
      </c>
      <c r="Y64" s="1"/>
      <c r="Z64" s="5">
        <f t="shared" si="51"/>
        <v>-0.68685714285714283</v>
      </c>
    </row>
    <row r="65" spans="1:26" s="24" customFormat="1" hidden="1" outlineLevel="2" x14ac:dyDescent="0.25">
      <c r="A65" s="27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-250</v>
      </c>
      <c r="M65" s="2"/>
      <c r="N65" s="6">
        <f t="shared" si="47"/>
        <v>-1</v>
      </c>
      <c r="O65" s="11"/>
      <c r="P65" s="7">
        <v>548</v>
      </c>
      <c r="Q65" s="2"/>
      <c r="R65" s="6">
        <f t="shared" si="48"/>
        <v>0</v>
      </c>
      <c r="S65" s="2"/>
      <c r="T65" s="7">
        <v>1750</v>
      </c>
      <c r="U65" s="2"/>
      <c r="V65" s="6">
        <f t="shared" si="49"/>
        <v>0</v>
      </c>
      <c r="W65" s="2"/>
      <c r="X65" s="7">
        <f t="shared" si="50"/>
        <v>-1202</v>
      </c>
      <c r="Y65" s="2"/>
      <c r="Z65" s="6">
        <f t="shared" si="51"/>
        <v>-0.68685714285714283</v>
      </c>
    </row>
    <row r="66" spans="1:26" s="28" customFormat="1" outlineLevel="1" collapsed="1" x14ac:dyDescent="0.25">
      <c r="A66" s="29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SUM(OSRRefD22_12x_0)</f>
        <v>0</v>
      </c>
      <c r="E66" s="1"/>
      <c r="F66" s="5">
        <f t="shared" si="44"/>
        <v>0</v>
      </c>
      <c r="G66" s="1"/>
      <c r="H66" s="1">
        <f>SUM(OSRRefH22_12x_0)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4"/>
      <c r="P66" s="1">
        <f>SUM(OSRRefP22_12x_0)</f>
        <v>67.819999999999993</v>
      </c>
      <c r="Q66" s="1"/>
      <c r="R66" s="5">
        <f t="shared" si="48"/>
        <v>0</v>
      </c>
      <c r="S66" s="1"/>
      <c r="T66" s="1">
        <f>SUM(OSRRefT22_12x_0)</f>
        <v>0</v>
      </c>
      <c r="U66" s="1"/>
      <c r="V66" s="5">
        <f t="shared" si="49"/>
        <v>0</v>
      </c>
      <c r="W66" s="1"/>
      <c r="X66" s="1">
        <f t="shared" si="50"/>
        <v>67.819999999999993</v>
      </c>
      <c r="Y66" s="1"/>
      <c r="Z66" s="5">
        <f t="shared" si="51"/>
        <v>0</v>
      </c>
    </row>
    <row r="67" spans="1:26" s="24" customFormat="1" hidden="1" outlineLevel="2" x14ac:dyDescent="0.25">
      <c r="A67" s="27"/>
      <c r="B67" s="11" t="str">
        <f>CONCATENATE("          ", "6294", " - ", "TRAVEL OPERATIONAL")</f>
        <v xml:space="preserve">          6294 - TRAVEL OPERATIONAL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67.819999999999993</v>
      </c>
      <c r="Q67" s="2"/>
      <c r="R67" s="6">
        <f t="shared" si="48"/>
        <v>0</v>
      </c>
      <c r="S67" s="2"/>
      <c r="T67" s="7"/>
      <c r="U67" s="2"/>
      <c r="V67" s="6">
        <f t="shared" si="49"/>
        <v>0</v>
      </c>
      <c r="W67" s="2"/>
      <c r="X67" s="7">
        <f t="shared" si="50"/>
        <v>67.819999999999993</v>
      </c>
      <c r="Y67" s="2"/>
      <c r="Z67" s="6">
        <f t="shared" si="51"/>
        <v>0</v>
      </c>
    </row>
    <row r="68" spans="1:26" s="58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6" t="s">
        <v>0</v>
      </c>
      <c r="C69" s="10"/>
      <c r="D69" s="4">
        <f>SUM(OSRRefD25x_0)</f>
        <v>0</v>
      </c>
      <c r="E69" s="4"/>
      <c r="F69" s="12">
        <f t="shared" ref="F69:F72" si="52">IF(D$12=0,0,D69/D$12)</f>
        <v>0</v>
      </c>
      <c r="G69" s="4"/>
      <c r="H69" s="4">
        <f>SUM(OSRRefH25x_0)</f>
        <v>0</v>
      </c>
      <c r="I69" s="4"/>
      <c r="J69" s="12">
        <f t="shared" ref="J69:J72" si="53">IF(H$12=0,0,H69/H$12)</f>
        <v>0</v>
      </c>
      <c r="K69" s="4"/>
      <c r="L69" s="4">
        <f t="shared" ref="L69:L72" si="54">+D69-H69</f>
        <v>0</v>
      </c>
      <c r="M69" s="4"/>
      <c r="N69" s="12">
        <f t="shared" ref="N69:N72" si="55">IF(H69=0,0,L69/H69)</f>
        <v>0</v>
      </c>
      <c r="O69" s="10"/>
      <c r="P69" s="4">
        <f>SUM(OSRRefP25x_0)</f>
        <v>0</v>
      </c>
      <c r="Q69" s="4"/>
      <c r="R69" s="12">
        <f t="shared" ref="R69:R72" si="56">IF(P$12=0,0,P69/P$12)</f>
        <v>0</v>
      </c>
      <c r="S69" s="4"/>
      <c r="T69" s="4">
        <f>SUM(OSRRefT25x_0)</f>
        <v>0</v>
      </c>
      <c r="U69" s="4"/>
      <c r="V69" s="12">
        <f t="shared" ref="V69:V72" si="57">IF(T$12=0,0,T69/T$12)</f>
        <v>0</v>
      </c>
      <c r="W69" s="4"/>
      <c r="X69" s="4">
        <f t="shared" ref="X69:X72" si="58">+P69-T69</f>
        <v>0</v>
      </c>
      <c r="Y69" s="4"/>
      <c r="Z69" s="12">
        <f t="shared" ref="Z69:Z72" si="59">IF(T69=0,0,X69/T69)</f>
        <v>0</v>
      </c>
    </row>
    <row r="70" spans="1:26" s="24" customFormat="1" hidden="1" outlineLevel="1" x14ac:dyDescent="0.25">
      <c r="A70" s="51"/>
      <c r="B70" s="11" t="str">
        <f>CONCATENATE("          ", "9150", " - ", "MISC. INCOME")</f>
        <v xml:space="preserve">          9150 - MISC. INCOME</v>
      </c>
      <c r="C70" s="11"/>
      <c r="D70" s="2">
        <f t="shared" ref="D70:D72" si="60">0</f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ref="P70:P72" si="61">0</f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25">
      <c r="A71" s="51"/>
      <c r="B71" s="11" t="str">
        <f>CONCATENATE("          ", "9151", " - ", "MISC. INCOME")</f>
        <v xml:space="preserve">          9151 -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s="24" customFormat="1" hidden="1" outlineLevel="1" x14ac:dyDescent="0.25">
      <c r="A72" s="51"/>
      <c r="B72" s="11" t="str">
        <f>CONCATENATE("          ", "9160", " - ", "MISC. INCOME")</f>
        <v xml:space="preserve">          9160 - MISC. INCOME</v>
      </c>
      <c r="C72" s="11"/>
      <c r="D72" s="2">
        <f t="shared" si="60"/>
        <v>0</v>
      </c>
      <c r="E72" s="2"/>
      <c r="F72" s="22">
        <f t="shared" si="52"/>
        <v>0</v>
      </c>
      <c r="G72" s="2"/>
      <c r="H72" s="2"/>
      <c r="I72" s="2"/>
      <c r="J72" s="22">
        <f t="shared" si="53"/>
        <v>0</v>
      </c>
      <c r="K72" s="2"/>
      <c r="L72" s="2">
        <f t="shared" si="54"/>
        <v>0</v>
      </c>
      <c r="M72" s="2"/>
      <c r="N72" s="22">
        <f t="shared" si="55"/>
        <v>0</v>
      </c>
      <c r="O72" s="11"/>
      <c r="P72" s="2">
        <f t="shared" si="61"/>
        <v>0</v>
      </c>
      <c r="Q72" s="2"/>
      <c r="R72" s="22">
        <f t="shared" si="56"/>
        <v>0</v>
      </c>
      <c r="S72" s="2"/>
      <c r="T72" s="2">
        <v>0</v>
      </c>
      <c r="U72" s="2"/>
      <c r="V72" s="22">
        <f t="shared" si="57"/>
        <v>0</v>
      </c>
      <c r="W72" s="2"/>
      <c r="X72" s="2">
        <f t="shared" si="58"/>
        <v>0</v>
      </c>
      <c r="Y72" s="2"/>
      <c r="Z72" s="22">
        <f t="shared" si="59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5" t="s">
        <v>3</v>
      </c>
      <c r="C74" s="25"/>
      <c r="D74" s="19">
        <f>+D17-D19+D69</f>
        <v>-49534.039999999994</v>
      </c>
      <c r="E74" s="13"/>
      <c r="F74" s="21">
        <f>IF(D$12=0,0,D74/D$12)</f>
        <v>0</v>
      </c>
      <c r="G74" s="13"/>
      <c r="H74" s="19">
        <f>+H17-H19+H69</f>
        <v>-46890.482495384669</v>
      </c>
      <c r="I74" s="13"/>
      <c r="J74" s="21">
        <f>IF(H$12=0,0,H74/H$12)</f>
        <v>0</v>
      </c>
      <c r="K74" s="15"/>
      <c r="L74" s="19">
        <f>+D74-H74</f>
        <v>-2643.5575046153244</v>
      </c>
      <c r="M74" s="15"/>
      <c r="N74" s="21">
        <f>IF(H74=0,0,L74/H74)</f>
        <v>5.6377272400119242E-2</v>
      </c>
      <c r="O74" s="26"/>
      <c r="P74" s="19">
        <f>+P17-P19+P69</f>
        <v>-321504.72999999992</v>
      </c>
      <c r="Q74" s="13"/>
      <c r="R74" s="21">
        <f>IF(P$12=0,0,P74/P$12)</f>
        <v>0</v>
      </c>
      <c r="S74" s="13"/>
      <c r="T74" s="19">
        <f>+T17-T19+T69</f>
        <v>-326335.3111146157</v>
      </c>
      <c r="U74" s="13"/>
      <c r="V74" s="21">
        <f>IF(T$12=0,0,T74/T$12)</f>
        <v>0</v>
      </c>
      <c r="W74" s="15"/>
      <c r="X74" s="19">
        <f>+P74-T74</f>
        <v>4830.5811146157794</v>
      </c>
      <c r="Y74" s="15"/>
      <c r="Z74" s="21">
        <f>IF(T74=0,0,X74/T74)</f>
        <v>-1.4802508187412118E-2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4</v>
      </c>
      <c r="C78" s="25"/>
      <c r="D78" s="34">
        <f>+D74-D76</f>
        <v>-49534.039999999994</v>
      </c>
      <c r="E78" s="13"/>
      <c r="F78" s="30">
        <f>IF(D$12=0,0,D78/D$12)</f>
        <v>0</v>
      </c>
      <c r="G78" s="13"/>
      <c r="H78" s="34">
        <f>+H74-H76</f>
        <v>-46890.482495384669</v>
      </c>
      <c r="I78" s="13"/>
      <c r="J78" s="30">
        <f>IF(H$12=0,0,H78/H$12)</f>
        <v>0</v>
      </c>
      <c r="K78" s="15"/>
      <c r="L78" s="34">
        <f>D78-H78</f>
        <v>-2643.5575046153244</v>
      </c>
      <c r="M78" s="15"/>
      <c r="N78" s="30">
        <f>IF(H78=0,0,L78/H78)</f>
        <v>5.6377272400119242E-2</v>
      </c>
      <c r="O78" s="26"/>
      <c r="P78" s="34">
        <f>+P74-P76</f>
        <v>-321504.72999999992</v>
      </c>
      <c r="Q78" s="13"/>
      <c r="R78" s="30">
        <f>IF(P$12=0,0,P78/P$12)</f>
        <v>0</v>
      </c>
      <c r="S78" s="13"/>
      <c r="T78" s="34">
        <f>+T74-T76</f>
        <v>-326335.3111146157</v>
      </c>
      <c r="U78" s="13"/>
      <c r="V78" s="30">
        <f>IF(T$12=0,0,T78/T$12)</f>
        <v>0</v>
      </c>
      <c r="W78" s="15"/>
      <c r="X78" s="34">
        <f>P78-T78</f>
        <v>4830.5811146157794</v>
      </c>
      <c r="Y78" s="15"/>
      <c r="Z78" s="30">
        <f>IF(T78=0,0,X78/T78)</f>
        <v>-1.4802508187412118E-2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5" t="s">
        <v>5</v>
      </c>
      <c r="C81" s="25"/>
      <c r="D81" s="35">
        <f>SUM(D78:D80)</f>
        <v>-49534.039999999994</v>
      </c>
      <c r="E81" s="13"/>
      <c r="F81" s="31">
        <f>IF(D$12=0,0,D81/D$12)</f>
        <v>0</v>
      </c>
      <c r="G81" s="13"/>
      <c r="H81" s="35">
        <f>SUM(H78:H80)</f>
        <v>-46890.482495384669</v>
      </c>
      <c r="I81" s="13"/>
      <c r="J81" s="31">
        <f>IF(H$12=0,0,H81/H$12)</f>
        <v>0</v>
      </c>
      <c r="K81" s="15"/>
      <c r="L81" s="35">
        <f>+D81-H81</f>
        <v>-2643.5575046153244</v>
      </c>
      <c r="M81" s="15"/>
      <c r="N81" s="31">
        <f>IF(H81=0,0,L81/H81)</f>
        <v>5.6377272400119242E-2</v>
      </c>
      <c r="O81" s="26"/>
      <c r="P81" s="35">
        <f>SUM(P78:P80)</f>
        <v>-321504.72999999992</v>
      </c>
      <c r="Q81" s="13"/>
      <c r="R81" s="31">
        <f>IF(P$12=0,0,P81/P$12)</f>
        <v>0</v>
      </c>
      <c r="S81" s="13"/>
      <c r="T81" s="35">
        <f>SUM(T78:T80)</f>
        <v>-326335.3111146157</v>
      </c>
      <c r="U81" s="13"/>
      <c r="V81" s="31">
        <f>IF(T$12=0,0,T81/T$12)</f>
        <v>0</v>
      </c>
      <c r="W81" s="15"/>
      <c r="X81" s="35">
        <f>+P81-T81</f>
        <v>4830.5811146157794</v>
      </c>
      <c r="Y81" s="15"/>
      <c r="Z81" s="31">
        <f>IF(T81=0,0,X81/T81)</f>
        <v>-1.4802508187412118E-2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3">
        <v>44267.671608877317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314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44218.12</v>
      </c>
      <c r="E18" s="20"/>
      <c r="F18" s="33">
        <f t="shared" ref="F18:F29" si="0">IF(D$12=0,0,D18/D$12)</f>
        <v>0</v>
      </c>
      <c r="G18" s="20"/>
      <c r="H18" s="20">
        <f>SUM(OSRRefH22x_0)</f>
        <v>49905.525784615391</v>
      </c>
      <c r="I18" s="20"/>
      <c r="J18" s="33">
        <f t="shared" ref="J18:J29" si="1">IF(H$12=0,0,H18/H$12)</f>
        <v>0</v>
      </c>
      <c r="K18" s="4"/>
      <c r="L18" s="20">
        <f t="shared" ref="L18:L29" si="2">+D18-H18</f>
        <v>-5687.4057846153883</v>
      </c>
      <c r="M18" s="4"/>
      <c r="N18" s="33">
        <f t="shared" ref="N18:N29" si="3">IF(H18=0,0,L18/H18)</f>
        <v>-0.1139634478386494</v>
      </c>
      <c r="O18" s="10"/>
      <c r="P18" s="20">
        <f>SUM(OSRRefP22x_0)</f>
        <v>367065.24000000005</v>
      </c>
      <c r="Q18" s="20"/>
      <c r="R18" s="33">
        <f t="shared" ref="R18:R29" si="4">IF(P$12=0,0,P18/P$12)</f>
        <v>0</v>
      </c>
      <c r="S18" s="20"/>
      <c r="T18" s="20">
        <f>SUM(OSRRefT22x_0)</f>
        <v>426171.10061538476</v>
      </c>
      <c r="U18" s="20"/>
      <c r="V18" s="33">
        <f t="shared" ref="V18:V29" si="5">IF(T$12=0,0,T18/T$12)</f>
        <v>0</v>
      </c>
      <c r="W18" s="4"/>
      <c r="X18" s="20">
        <f t="shared" ref="X18:X29" si="6">+P18-T18</f>
        <v>-59105.860615384707</v>
      </c>
      <c r="Y18" s="4"/>
      <c r="Z18" s="33">
        <f t="shared" ref="Z18:Z29" si="7">IF(T18=0,0,X18/T18)</f>
        <v>-0.13869044740489611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11037.230000000001</v>
      </c>
      <c r="E19" s="1"/>
      <c r="F19" s="5">
        <f t="shared" si="0"/>
        <v>0</v>
      </c>
      <c r="G19" s="1"/>
      <c r="H19" s="1">
        <f>SUM(OSRRefH22_0x_0)</f>
        <v>10515.895015384624</v>
      </c>
      <c r="I19" s="1"/>
      <c r="J19" s="5">
        <f t="shared" si="1"/>
        <v>0</v>
      </c>
      <c r="K19" s="1"/>
      <c r="L19" s="1">
        <f t="shared" si="2"/>
        <v>521.33498461537783</v>
      </c>
      <c r="M19" s="1"/>
      <c r="N19" s="5">
        <f t="shared" si="3"/>
        <v>4.9575902369952463E-2</v>
      </c>
      <c r="O19" s="14"/>
      <c r="P19" s="1">
        <f>SUM(OSRRefP22_0x_0)</f>
        <v>98570.400000000009</v>
      </c>
      <c r="Q19" s="1"/>
      <c r="R19" s="5">
        <f t="shared" si="4"/>
        <v>0</v>
      </c>
      <c r="S19" s="1"/>
      <c r="T19" s="1">
        <f>SUM(OSRRefT22_0x_0)</f>
        <v>90135.331384615434</v>
      </c>
      <c r="U19" s="1"/>
      <c r="V19" s="5">
        <f t="shared" si="5"/>
        <v>0</v>
      </c>
      <c r="W19" s="1"/>
      <c r="X19" s="1">
        <f t="shared" si="6"/>
        <v>8435.0686153845745</v>
      </c>
      <c r="Y19" s="1"/>
      <c r="Z19" s="5">
        <f t="shared" si="7"/>
        <v>9.358226664071817E-2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1855.51</v>
      </c>
      <c r="E20" s="2"/>
      <c r="F20" s="6">
        <f t="shared" si="0"/>
        <v>0</v>
      </c>
      <c r="G20" s="2"/>
      <c r="H20" s="7">
        <v>1518.5906769230799</v>
      </c>
      <c r="I20" s="2"/>
      <c r="J20" s="6">
        <f t="shared" si="1"/>
        <v>0</v>
      </c>
      <c r="K20" s="2"/>
      <c r="L20" s="7">
        <f t="shared" si="2"/>
        <v>336.91932307692014</v>
      </c>
      <c r="M20" s="2"/>
      <c r="N20" s="6">
        <f t="shared" si="3"/>
        <v>0.22186315785868999</v>
      </c>
      <c r="O20" s="11"/>
      <c r="P20" s="7">
        <v>17078.14</v>
      </c>
      <c r="Q20" s="2"/>
      <c r="R20" s="6">
        <f t="shared" si="4"/>
        <v>0</v>
      </c>
      <c r="S20" s="2"/>
      <c r="T20" s="7">
        <v>13287.668423076952</v>
      </c>
      <c r="U20" s="2"/>
      <c r="V20" s="6">
        <f t="shared" si="5"/>
        <v>0</v>
      </c>
      <c r="W20" s="2"/>
      <c r="X20" s="7">
        <f t="shared" si="6"/>
        <v>3790.4715769230479</v>
      </c>
      <c r="Y20" s="2"/>
      <c r="Z20" s="6">
        <f t="shared" si="7"/>
        <v>0.28526235425472102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79.650000000000006</v>
      </c>
      <c r="E21" s="2"/>
      <c r="F21" s="6">
        <f t="shared" si="0"/>
        <v>0</v>
      </c>
      <c r="G21" s="2"/>
      <c r="H21" s="7">
        <v>91.129753846153889</v>
      </c>
      <c r="I21" s="2"/>
      <c r="J21" s="6">
        <f t="shared" si="1"/>
        <v>0</v>
      </c>
      <c r="K21" s="2"/>
      <c r="L21" s="7">
        <f t="shared" si="2"/>
        <v>-11.479753846153884</v>
      </c>
      <c r="M21" s="2"/>
      <c r="N21" s="6">
        <f t="shared" si="3"/>
        <v>-0.12597152259989763</v>
      </c>
      <c r="O21" s="11"/>
      <c r="P21" s="7">
        <v>743.87</v>
      </c>
      <c r="Q21" s="2"/>
      <c r="R21" s="6">
        <f t="shared" si="4"/>
        <v>0</v>
      </c>
      <c r="S21" s="2"/>
      <c r="T21" s="7">
        <v>797.38534615384549</v>
      </c>
      <c r="U21" s="2"/>
      <c r="V21" s="6">
        <f t="shared" si="5"/>
        <v>0</v>
      </c>
      <c r="W21" s="2"/>
      <c r="X21" s="7">
        <f t="shared" si="6"/>
        <v>-53.515346153845485</v>
      </c>
      <c r="Y21" s="2"/>
      <c r="Z21" s="6">
        <f t="shared" si="7"/>
        <v>-6.7113531007278349E-2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6028.29</v>
      </c>
      <c r="E22" s="2"/>
      <c r="F22" s="6">
        <f t="shared" si="0"/>
        <v>0</v>
      </c>
      <c r="G22" s="2"/>
      <c r="H22" s="7">
        <v>5635.3846153846198</v>
      </c>
      <c r="I22" s="2"/>
      <c r="J22" s="6">
        <f t="shared" si="1"/>
        <v>0</v>
      </c>
      <c r="K22" s="2"/>
      <c r="L22" s="7">
        <f t="shared" si="2"/>
        <v>392.90538461538017</v>
      </c>
      <c r="M22" s="2"/>
      <c r="N22" s="6">
        <f t="shared" si="3"/>
        <v>6.9721130221129385E-2</v>
      </c>
      <c r="O22" s="11"/>
      <c r="P22" s="7">
        <v>48606.6</v>
      </c>
      <c r="Q22" s="2"/>
      <c r="R22" s="6">
        <f t="shared" si="4"/>
        <v>0</v>
      </c>
      <c r="S22" s="2"/>
      <c r="T22" s="7">
        <v>47824.615384615405</v>
      </c>
      <c r="U22" s="2"/>
      <c r="V22" s="6">
        <f t="shared" si="5"/>
        <v>0</v>
      </c>
      <c r="W22" s="2"/>
      <c r="X22" s="7">
        <f t="shared" si="6"/>
        <v>781.98461538459378</v>
      </c>
      <c r="Y22" s="2"/>
      <c r="Z22" s="6">
        <f t="shared" si="7"/>
        <v>1.6351090523064587E-2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62.76</v>
      </c>
      <c r="E23" s="2"/>
      <c r="F23" s="6">
        <f t="shared" si="0"/>
        <v>0</v>
      </c>
      <c r="G23" s="2"/>
      <c r="H23" s="7">
        <v>71.799199999999999</v>
      </c>
      <c r="I23" s="2"/>
      <c r="J23" s="6">
        <f t="shared" si="1"/>
        <v>0</v>
      </c>
      <c r="K23" s="2"/>
      <c r="L23" s="7">
        <f t="shared" si="2"/>
        <v>-9.039200000000001</v>
      </c>
      <c r="M23" s="2"/>
      <c r="N23" s="6">
        <f t="shared" si="3"/>
        <v>-0.12589555315379561</v>
      </c>
      <c r="O23" s="11"/>
      <c r="P23" s="7">
        <v>586.08000000000004</v>
      </c>
      <c r="Q23" s="2"/>
      <c r="R23" s="6">
        <f t="shared" si="4"/>
        <v>0</v>
      </c>
      <c r="S23" s="2"/>
      <c r="T23" s="7">
        <v>628.24300000000005</v>
      </c>
      <c r="U23" s="2"/>
      <c r="V23" s="6">
        <f t="shared" si="5"/>
        <v>0</v>
      </c>
      <c r="W23" s="2"/>
      <c r="X23" s="7">
        <f t="shared" si="6"/>
        <v>-42.163000000000011</v>
      </c>
      <c r="Y23" s="2"/>
      <c r="Z23" s="6">
        <f t="shared" si="7"/>
        <v>-6.7112566315900068E-2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853.38461538461502</v>
      </c>
      <c r="I24" s="2"/>
      <c r="J24" s="6">
        <f t="shared" si="1"/>
        <v>0</v>
      </c>
      <c r="K24" s="2"/>
      <c r="L24" s="7">
        <f t="shared" si="2"/>
        <v>238.095384615385</v>
      </c>
      <c r="M24" s="2"/>
      <c r="N24" s="6">
        <f t="shared" si="3"/>
        <v>0.27900126194339342</v>
      </c>
      <c r="O24" s="11"/>
      <c r="P24" s="7">
        <v>11100.36</v>
      </c>
      <c r="Q24" s="2"/>
      <c r="R24" s="6">
        <f t="shared" si="4"/>
        <v>0</v>
      </c>
      <c r="S24" s="2"/>
      <c r="T24" s="7">
        <v>7467.1153846153857</v>
      </c>
      <c r="U24" s="2"/>
      <c r="V24" s="6">
        <f t="shared" si="5"/>
        <v>0</v>
      </c>
      <c r="W24" s="2"/>
      <c r="X24" s="7">
        <f t="shared" si="6"/>
        <v>3633.2446153846149</v>
      </c>
      <c r="Y24" s="2"/>
      <c r="Z24" s="6">
        <f t="shared" si="7"/>
        <v>0.48656602024260204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532.74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532.74</v>
      </c>
      <c r="M26" s="2"/>
      <c r="N26" s="6">
        <f t="shared" si="3"/>
        <v>0</v>
      </c>
      <c r="O26" s="11"/>
      <c r="P26" s="7">
        <v>4864.58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4864.58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478.68</v>
      </c>
      <c r="E27" s="2"/>
      <c r="F27" s="6">
        <f t="shared" si="0"/>
        <v>0</v>
      </c>
      <c r="G27" s="2"/>
      <c r="H27" s="7">
        <v>992.15384615384596</v>
      </c>
      <c r="I27" s="2"/>
      <c r="J27" s="6">
        <f t="shared" si="1"/>
        <v>0</v>
      </c>
      <c r="K27" s="2"/>
      <c r="L27" s="7">
        <f t="shared" si="2"/>
        <v>-513.4738461538459</v>
      </c>
      <c r="M27" s="2"/>
      <c r="N27" s="6">
        <f t="shared" si="3"/>
        <v>-0.51753450147309643</v>
      </c>
      <c r="O27" s="11"/>
      <c r="P27" s="7">
        <v>7531.92</v>
      </c>
      <c r="Q27" s="2"/>
      <c r="R27" s="6">
        <f t="shared" si="4"/>
        <v>0</v>
      </c>
      <c r="S27" s="2"/>
      <c r="T27" s="7">
        <v>8681.3461538461597</v>
      </c>
      <c r="U27" s="2"/>
      <c r="V27" s="6">
        <f t="shared" si="5"/>
        <v>0</v>
      </c>
      <c r="W27" s="2"/>
      <c r="X27" s="7">
        <f t="shared" si="6"/>
        <v>-1149.4261538461597</v>
      </c>
      <c r="Y27" s="2"/>
      <c r="Z27" s="6">
        <f t="shared" si="7"/>
        <v>-0.13240183417141144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828.45230769230795</v>
      </c>
      <c r="I28" s="2"/>
      <c r="J28" s="6">
        <f t="shared" si="1"/>
        <v>0</v>
      </c>
      <c r="K28" s="2"/>
      <c r="L28" s="7">
        <f t="shared" si="2"/>
        <v>79.66769230769205</v>
      </c>
      <c r="M28" s="2"/>
      <c r="N28" s="6">
        <f t="shared" si="3"/>
        <v>9.6164488369415102E-2</v>
      </c>
      <c r="O28" s="11"/>
      <c r="P28" s="7">
        <v>7719.02</v>
      </c>
      <c r="Q28" s="2"/>
      <c r="R28" s="6">
        <f t="shared" si="4"/>
        <v>0</v>
      </c>
      <c r="S28" s="2"/>
      <c r="T28" s="7">
        <v>7248.9576923076802</v>
      </c>
      <c r="U28" s="2"/>
      <c r="V28" s="6">
        <f t="shared" si="5"/>
        <v>0</v>
      </c>
      <c r="W28" s="2"/>
      <c r="X28" s="7">
        <f t="shared" si="6"/>
        <v>470.06230769232025</v>
      </c>
      <c r="Y28" s="2"/>
      <c r="Z28" s="6">
        <f t="shared" si="7"/>
        <v>6.4845502987433981E-2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4200</v>
      </c>
      <c r="U29" s="2"/>
      <c r="V29" s="6">
        <f t="shared" si="5"/>
        <v>0</v>
      </c>
      <c r="W29" s="2"/>
      <c r="X29" s="7">
        <f t="shared" si="6"/>
        <v>-3860.17</v>
      </c>
      <c r="Y29" s="2"/>
      <c r="Z29" s="6">
        <f t="shared" si="7"/>
        <v>-0.9190880952380952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22005.079999999998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-4022.5507692307692</v>
      </c>
      <c r="M30" s="1"/>
      <c r="N30" s="5">
        <f t="shared" ref="N30:N40" si="11">IF(H30=0,0,L30/H30)</f>
        <v>-0.15454924825451768</v>
      </c>
      <c r="O30" s="14"/>
      <c r="P30" s="1">
        <f>SUM(OSRRefP22_1x_0)</f>
        <v>212556.08000000002</v>
      </c>
      <c r="Q30" s="1"/>
      <c r="R30" s="5">
        <f t="shared" ref="R30:R40" si="12">IF(P$12=0,0,P30/P$12)</f>
        <v>0</v>
      </c>
      <c r="S30" s="1"/>
      <c r="T30" s="1">
        <f>SUM(OSRRefT22_1x_0)</f>
        <v>227741.76923076937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-15185.689230769349</v>
      </c>
      <c r="Y30" s="1"/>
      <c r="Z30" s="5">
        <f t="shared" ref="Z30:Z40" si="15">IF(T30=0,0,X30/T30)</f>
        <v>-6.6679420652878921E-2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8980.2099999999991</v>
      </c>
      <c r="E31" s="2"/>
      <c r="F31" s="6">
        <f t="shared" si="8"/>
        <v>0</v>
      </c>
      <c r="G31" s="2"/>
      <c r="H31" s="7">
        <v>9129.2307692307695</v>
      </c>
      <c r="I31" s="2"/>
      <c r="J31" s="6">
        <f t="shared" si="9"/>
        <v>0</v>
      </c>
      <c r="K31" s="2"/>
      <c r="L31" s="7">
        <f t="shared" si="10"/>
        <v>-149.02076923077038</v>
      </c>
      <c r="M31" s="2"/>
      <c r="N31" s="6">
        <f t="shared" si="11"/>
        <v>-1.6323474890461872E-2</v>
      </c>
      <c r="O31" s="11"/>
      <c r="P31" s="7">
        <v>82276.19</v>
      </c>
      <c r="Q31" s="2"/>
      <c r="R31" s="6">
        <f t="shared" si="12"/>
        <v>0</v>
      </c>
      <c r="S31" s="2"/>
      <c r="T31" s="7">
        <v>79880.769230769351</v>
      </c>
      <c r="U31" s="2"/>
      <c r="V31" s="6">
        <f t="shared" si="13"/>
        <v>0</v>
      </c>
      <c r="W31" s="2"/>
      <c r="X31" s="7">
        <f t="shared" si="14"/>
        <v>2395.4207692306518</v>
      </c>
      <c r="Y31" s="2"/>
      <c r="Z31" s="6">
        <f t="shared" si="15"/>
        <v>2.9987452453173892E-2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>
        <v>10055.74</v>
      </c>
      <c r="E34" s="2"/>
      <c r="F34" s="6">
        <f t="shared" si="8"/>
        <v>0</v>
      </c>
      <c r="G34" s="2"/>
      <c r="H34" s="7">
        <v>9126.4</v>
      </c>
      <c r="I34" s="2"/>
      <c r="J34" s="6">
        <f t="shared" si="9"/>
        <v>0</v>
      </c>
      <c r="K34" s="2"/>
      <c r="L34" s="7">
        <f t="shared" si="10"/>
        <v>929.34000000000015</v>
      </c>
      <c r="M34" s="2"/>
      <c r="N34" s="6">
        <f t="shared" si="11"/>
        <v>0.10182985624123424</v>
      </c>
      <c r="O34" s="11"/>
      <c r="P34" s="7">
        <v>83776.960000000006</v>
      </c>
      <c r="Q34" s="2"/>
      <c r="R34" s="6">
        <f t="shared" si="12"/>
        <v>0</v>
      </c>
      <c r="S34" s="2"/>
      <c r="T34" s="7">
        <v>79856</v>
      </c>
      <c r="U34" s="2"/>
      <c r="V34" s="6">
        <f t="shared" si="13"/>
        <v>0</v>
      </c>
      <c r="W34" s="2"/>
      <c r="X34" s="7">
        <f t="shared" si="14"/>
        <v>3920.9600000000064</v>
      </c>
      <c r="Y34" s="2"/>
      <c r="Z34" s="6">
        <f t="shared" si="15"/>
        <v>4.9100380685233501E-2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4163.13</v>
      </c>
      <c r="E35" s="2"/>
      <c r="F35" s="6">
        <f t="shared" si="8"/>
        <v>0</v>
      </c>
      <c r="G35" s="2"/>
      <c r="H35" s="7">
        <v>7772</v>
      </c>
      <c r="I35" s="2"/>
      <c r="J35" s="6">
        <f t="shared" si="9"/>
        <v>0</v>
      </c>
      <c r="K35" s="2"/>
      <c r="L35" s="7">
        <f t="shared" si="10"/>
        <v>-3608.87</v>
      </c>
      <c r="M35" s="2"/>
      <c r="N35" s="6">
        <f t="shared" si="11"/>
        <v>-0.46434251158003087</v>
      </c>
      <c r="O35" s="11"/>
      <c r="P35" s="7">
        <v>43970.93</v>
      </c>
      <c r="Q35" s="2"/>
      <c r="R35" s="6">
        <f t="shared" si="12"/>
        <v>0</v>
      </c>
      <c r="S35" s="2"/>
      <c r="T35" s="7">
        <v>68005</v>
      </c>
      <c r="U35" s="2"/>
      <c r="V35" s="6">
        <f t="shared" si="13"/>
        <v>0</v>
      </c>
      <c r="W35" s="2"/>
      <c r="X35" s="7">
        <f t="shared" si="14"/>
        <v>-24034.07</v>
      </c>
      <c r="Y35" s="2"/>
      <c r="Z35" s="6">
        <f t="shared" si="15"/>
        <v>-0.35341621939563267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>
        <v>-1194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-1194</v>
      </c>
      <c r="M37" s="2"/>
      <c r="N37" s="6">
        <f t="shared" si="11"/>
        <v>0</v>
      </c>
      <c r="O37" s="11"/>
      <c r="P37" s="7">
        <v>2532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2532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2000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-2000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2000</v>
      </c>
      <c r="U42" s="2"/>
      <c r="V42" s="6">
        <f t="shared" si="21"/>
        <v>0</v>
      </c>
      <c r="W42" s="2"/>
      <c r="X42" s="7">
        <f t="shared" si="22"/>
        <v>-2000</v>
      </c>
      <c r="Y42" s="2"/>
      <c r="Z42" s="6">
        <f t="shared" si="23"/>
        <v>-1</v>
      </c>
    </row>
    <row r="43" spans="1:26" s="28" customFormat="1" outlineLevel="1" collapsed="1" x14ac:dyDescent="0.25">
      <c r="A43" s="29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700</v>
      </c>
      <c r="U43" s="1"/>
      <c r="V43" s="5">
        <f t="shared" si="21"/>
        <v>0</v>
      </c>
      <c r="W43" s="1"/>
      <c r="X43" s="1">
        <f t="shared" si="22"/>
        <v>-618.44000000000005</v>
      </c>
      <c r="Y43" s="1"/>
      <c r="Z43" s="5">
        <f t="shared" si="23"/>
        <v>-0.88348571428571432</v>
      </c>
    </row>
    <row r="44" spans="1:26" s="24" customFormat="1" hidden="1" outlineLevel="2" x14ac:dyDescent="0.25">
      <c r="A44" s="27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0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81.56</v>
      </c>
      <c r="Q44" s="2"/>
      <c r="R44" s="6">
        <f t="shared" si="20"/>
        <v>0</v>
      </c>
      <c r="S44" s="2"/>
      <c r="T44" s="7">
        <v>700</v>
      </c>
      <c r="U44" s="2"/>
      <c r="V44" s="6">
        <f t="shared" si="21"/>
        <v>0</v>
      </c>
      <c r="W44" s="2"/>
      <c r="X44" s="7">
        <f t="shared" si="22"/>
        <v>-618.44000000000005</v>
      </c>
      <c r="Y44" s="2"/>
      <c r="Z44" s="6">
        <f t="shared" si="23"/>
        <v>-0.88348571428571432</v>
      </c>
    </row>
    <row r="45" spans="1:26" s="28" customFormat="1" outlineLevel="1" collapsed="1" x14ac:dyDescent="0.25">
      <c r="A45" s="29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574</v>
      </c>
      <c r="U45" s="1"/>
      <c r="V45" s="5">
        <f t="shared" si="21"/>
        <v>0</v>
      </c>
      <c r="W45" s="1"/>
      <c r="X45" s="1">
        <f t="shared" si="22"/>
        <v>-574</v>
      </c>
      <c r="Y45" s="1"/>
      <c r="Z45" s="5">
        <f t="shared" si="23"/>
        <v>-1</v>
      </c>
    </row>
    <row r="46" spans="1:26" s="24" customFormat="1" hidden="1" outlineLevel="2" x14ac:dyDescent="0.25">
      <c r="A46" s="27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574</v>
      </c>
      <c r="U46" s="2"/>
      <c r="V46" s="6">
        <f t="shared" si="21"/>
        <v>0</v>
      </c>
      <c r="W46" s="2"/>
      <c r="X46" s="7">
        <f t="shared" si="22"/>
        <v>-574</v>
      </c>
      <c r="Y46" s="2"/>
      <c r="Z46" s="6">
        <f t="shared" si="23"/>
        <v>-1</v>
      </c>
    </row>
    <row r="47" spans="1:26" s="28" customFormat="1" outlineLevel="1" collapsed="1" x14ac:dyDescent="0.25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-83</v>
      </c>
      <c r="M47" s="1"/>
      <c r="N47" s="5">
        <f t="shared" si="19"/>
        <v>-1</v>
      </c>
      <c r="O47" s="14"/>
      <c r="P47" s="1">
        <f>SUM(OSRRefP22_5x_0)</f>
        <v>106.55</v>
      </c>
      <c r="Q47" s="1"/>
      <c r="R47" s="5">
        <f t="shared" si="20"/>
        <v>0</v>
      </c>
      <c r="S47" s="1"/>
      <c r="T47" s="1">
        <f>SUM(OSRRefT22_5x_0)</f>
        <v>664</v>
      </c>
      <c r="U47" s="1"/>
      <c r="V47" s="5">
        <f t="shared" si="21"/>
        <v>0</v>
      </c>
      <c r="W47" s="1"/>
      <c r="X47" s="1">
        <f t="shared" si="22"/>
        <v>-557.45000000000005</v>
      </c>
      <c r="Y47" s="1"/>
      <c r="Z47" s="5">
        <f t="shared" si="23"/>
        <v>-0.83953313253012052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-83</v>
      </c>
      <c r="M48" s="2"/>
      <c r="N48" s="6">
        <f t="shared" si="19"/>
        <v>-1</v>
      </c>
      <c r="O48" s="11"/>
      <c r="P48" s="7">
        <v>106.55</v>
      </c>
      <c r="Q48" s="2"/>
      <c r="R48" s="6">
        <f t="shared" si="20"/>
        <v>0</v>
      </c>
      <c r="S48" s="2"/>
      <c r="T48" s="7">
        <v>664</v>
      </c>
      <c r="U48" s="2"/>
      <c r="V48" s="6">
        <f t="shared" si="21"/>
        <v>0</v>
      </c>
      <c r="W48" s="2"/>
      <c r="X48" s="7">
        <f t="shared" si="22"/>
        <v>-557.45000000000005</v>
      </c>
      <c r="Y48" s="2"/>
      <c r="Z48" s="6">
        <f t="shared" si="23"/>
        <v>-0.83953313253012052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-489.4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-822.4</v>
      </c>
      <c r="M49" s="1"/>
      <c r="N49" s="5">
        <f t="shared" si="19"/>
        <v>-2.4696696696696696</v>
      </c>
      <c r="O49" s="14"/>
      <c r="P49" s="1">
        <f>SUM(OSRRefP22_6x_0)</f>
        <v>177.14</v>
      </c>
      <c r="Q49" s="1"/>
      <c r="R49" s="5">
        <f t="shared" si="20"/>
        <v>0</v>
      </c>
      <c r="S49" s="1"/>
      <c r="T49" s="1">
        <f>SUM(OSRRefT22_6x_0)</f>
        <v>2664</v>
      </c>
      <c r="U49" s="1"/>
      <c r="V49" s="5">
        <f t="shared" si="21"/>
        <v>0</v>
      </c>
      <c r="W49" s="1"/>
      <c r="X49" s="1">
        <f t="shared" si="22"/>
        <v>-2486.86</v>
      </c>
      <c r="Y49" s="1"/>
      <c r="Z49" s="5">
        <f t="shared" si="23"/>
        <v>-0.93350600600600608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>
        <v>-489.4</v>
      </c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-822.4</v>
      </c>
      <c r="M50" s="2"/>
      <c r="N50" s="6">
        <f t="shared" si="19"/>
        <v>-2.4696696696696696</v>
      </c>
      <c r="O50" s="11"/>
      <c r="P50" s="7">
        <v>177.14</v>
      </c>
      <c r="Q50" s="2"/>
      <c r="R50" s="6">
        <f t="shared" si="20"/>
        <v>0</v>
      </c>
      <c r="S50" s="2"/>
      <c r="T50" s="7">
        <v>2664</v>
      </c>
      <c r="U50" s="2"/>
      <c r="V50" s="6">
        <f t="shared" si="21"/>
        <v>0</v>
      </c>
      <c r="W50" s="2"/>
      <c r="X50" s="7">
        <f t="shared" si="22"/>
        <v>-2486.86</v>
      </c>
      <c r="Y50" s="2"/>
      <c r="Z50" s="6">
        <f t="shared" si="23"/>
        <v>-0.93350600600600608</v>
      </c>
    </row>
    <row r="51" spans="1:26" s="28" customFormat="1" outlineLevel="1" collapsed="1" x14ac:dyDescent="0.25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523.76</v>
      </c>
      <c r="Q51" s="1"/>
      <c r="R51" s="5">
        <f t="shared" si="20"/>
        <v>0</v>
      </c>
      <c r="S51" s="1"/>
      <c r="T51" s="1">
        <f>SUM(OSRRefT22_7x_0)</f>
        <v>1364</v>
      </c>
      <c r="U51" s="1"/>
      <c r="V51" s="5">
        <f t="shared" si="21"/>
        <v>0</v>
      </c>
      <c r="W51" s="1"/>
      <c r="X51" s="1">
        <f t="shared" si="22"/>
        <v>-840.24</v>
      </c>
      <c r="Y51" s="1"/>
      <c r="Z51" s="5">
        <f t="shared" si="23"/>
        <v>-0.61601173020527855</v>
      </c>
    </row>
    <row r="52" spans="1:26" s="24" customFormat="1" hidden="1" outlineLevel="2" x14ac:dyDescent="0.25">
      <c r="A52" s="27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7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523.76</v>
      </c>
      <c r="Q53" s="2"/>
      <c r="R53" s="6">
        <f t="shared" si="20"/>
        <v>0</v>
      </c>
      <c r="S53" s="2"/>
      <c r="T53" s="7">
        <v>584</v>
      </c>
      <c r="U53" s="2"/>
      <c r="V53" s="6">
        <f t="shared" si="21"/>
        <v>0</v>
      </c>
      <c r="W53" s="2"/>
      <c r="X53" s="7">
        <f t="shared" si="22"/>
        <v>-60.240000000000009</v>
      </c>
      <c r="Y53" s="2"/>
      <c r="Z53" s="6">
        <f t="shared" si="23"/>
        <v>-0.10315068493150686</v>
      </c>
    </row>
    <row r="54" spans="1:26" s="28" customFormat="1" outlineLevel="1" collapsed="1" x14ac:dyDescent="0.25">
      <c r="A54" s="29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0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-2083</v>
      </c>
      <c r="M54" s="1"/>
      <c r="N54" s="5">
        <f t="shared" ref="N54:N57" si="27">IF(H54=0,0,L54/H54)</f>
        <v>-1</v>
      </c>
      <c r="O54" s="14"/>
      <c r="P54" s="1">
        <f>SUM(OSRRefP22_8x_0)</f>
        <v>8819.880000000001</v>
      </c>
      <c r="Q54" s="1"/>
      <c r="R54" s="5">
        <f t="shared" ref="R54:R57" si="28">IF(P$12=0,0,P54/P$12)</f>
        <v>0</v>
      </c>
      <c r="S54" s="1"/>
      <c r="T54" s="1">
        <f>SUM(OSRRefT22_8x_0)</f>
        <v>16664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-7844.119999999999</v>
      </c>
      <c r="Y54" s="1"/>
      <c r="Z54" s="5">
        <f t="shared" ref="Z54:Z57" si="31">IF(T54=0,0,X54/T54)</f>
        <v>-0.47072251560249634</v>
      </c>
    </row>
    <row r="55" spans="1:26" s="24" customFormat="1" hidden="1" outlineLevel="2" x14ac:dyDescent="0.25">
      <c r="A55" s="27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7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-833</v>
      </c>
      <c r="M56" s="2"/>
      <c r="N56" s="6">
        <f t="shared" si="27"/>
        <v>-1</v>
      </c>
      <c r="O56" s="11"/>
      <c r="P56" s="7">
        <v>2450</v>
      </c>
      <c r="Q56" s="2"/>
      <c r="R56" s="6">
        <f t="shared" si="28"/>
        <v>0</v>
      </c>
      <c r="S56" s="2"/>
      <c r="T56" s="7">
        <v>6664</v>
      </c>
      <c r="U56" s="2"/>
      <c r="V56" s="6">
        <f t="shared" si="29"/>
        <v>0</v>
      </c>
      <c r="W56" s="2"/>
      <c r="X56" s="7">
        <f t="shared" si="30"/>
        <v>-4214</v>
      </c>
      <c r="Y56" s="2"/>
      <c r="Z56" s="6">
        <f t="shared" si="31"/>
        <v>-0.63235294117647056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-1250</v>
      </c>
      <c r="M57" s="2"/>
      <c r="N57" s="6">
        <f t="shared" si="27"/>
        <v>-1</v>
      </c>
      <c r="O57" s="11"/>
      <c r="P57" s="7">
        <v>6369.88</v>
      </c>
      <c r="Q57" s="2"/>
      <c r="R57" s="6">
        <f t="shared" si="28"/>
        <v>0</v>
      </c>
      <c r="S57" s="2"/>
      <c r="T57" s="7">
        <v>10000</v>
      </c>
      <c r="U57" s="2"/>
      <c r="V57" s="6">
        <f t="shared" si="29"/>
        <v>0</v>
      </c>
      <c r="W57" s="2"/>
      <c r="X57" s="7">
        <f t="shared" si="30"/>
        <v>-3630.12</v>
      </c>
      <c r="Y57" s="2"/>
      <c r="Z57" s="6">
        <f t="shared" si="31"/>
        <v>-0.363012</v>
      </c>
    </row>
    <row r="58" spans="1:26" s="28" customFormat="1" outlineLevel="1" collapsed="1" x14ac:dyDescent="0.25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10344.780000000001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3261.7800000000007</v>
      </c>
      <c r="M58" s="1"/>
      <c r="N58" s="5">
        <f t="shared" ref="N58:N60" si="35">IF(H58=0,0,L58/H58)</f>
        <v>0.46050825921219829</v>
      </c>
      <c r="O58" s="14"/>
      <c r="P58" s="1">
        <f>SUM(OSRRefP22_9x_0)</f>
        <v>39360.069999999992</v>
      </c>
      <c r="Q58" s="1"/>
      <c r="R58" s="5">
        <f t="shared" ref="R58:R60" si="36">IF(P$12=0,0,P58/P$12)</f>
        <v>0</v>
      </c>
      <c r="S58" s="1"/>
      <c r="T58" s="1">
        <f>SUM(OSRRefT22_9x_0)</f>
        <v>56664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-17303.930000000008</v>
      </c>
      <c r="Y58" s="1"/>
      <c r="Z58" s="5">
        <f t="shared" ref="Z58:Z60" si="39">IF(T58=0,0,X58/T58)</f>
        <v>-0.30537784131017942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10296.85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3213.8500000000004</v>
      </c>
      <c r="M59" s="2"/>
      <c r="N59" s="6">
        <f t="shared" si="35"/>
        <v>0.45374135253423697</v>
      </c>
      <c r="O59" s="11"/>
      <c r="P59" s="7">
        <v>39254.049999999996</v>
      </c>
      <c r="Q59" s="2"/>
      <c r="R59" s="6">
        <f t="shared" si="36"/>
        <v>0</v>
      </c>
      <c r="S59" s="2"/>
      <c r="T59" s="7">
        <v>56664</v>
      </c>
      <c r="U59" s="2"/>
      <c r="V59" s="6">
        <f t="shared" si="37"/>
        <v>0</v>
      </c>
      <c r="W59" s="2"/>
      <c r="X59" s="7">
        <f t="shared" si="38"/>
        <v>-17409.950000000004</v>
      </c>
      <c r="Y59" s="2"/>
      <c r="Z59" s="6">
        <f t="shared" si="39"/>
        <v>-0.3072488705350841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47.93</v>
      </c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47.93</v>
      </c>
      <c r="M60" s="2"/>
      <c r="N60" s="6">
        <f t="shared" si="35"/>
        <v>0</v>
      </c>
      <c r="O60" s="11"/>
      <c r="P60" s="7">
        <v>106.02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106.02</v>
      </c>
      <c r="Y60" s="2"/>
      <c r="Z60" s="6">
        <f t="shared" si="39"/>
        <v>0</v>
      </c>
    </row>
    <row r="61" spans="1:26" s="28" customFormat="1" outlineLevel="1" collapsed="1" x14ac:dyDescent="0.25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795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740</v>
      </c>
      <c r="M61" s="1"/>
      <c r="N61" s="5">
        <f t="shared" ref="N61:N66" si="43">IF(H61=0,0,L61/H61)</f>
        <v>13.454545454545455</v>
      </c>
      <c r="O61" s="14"/>
      <c r="P61" s="1">
        <f>SUM(OSRRefP22_10x_0)</f>
        <v>1329.99</v>
      </c>
      <c r="Q61" s="1"/>
      <c r="R61" s="5">
        <f t="shared" ref="R61:R66" si="44">IF(P$12=0,0,P61/P$12)</f>
        <v>0</v>
      </c>
      <c r="S61" s="1"/>
      <c r="T61" s="1">
        <f>SUM(OSRRefT22_10x_0)</f>
        <v>440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889.99</v>
      </c>
      <c r="Y61" s="1"/>
      <c r="Z61" s="5">
        <f t="shared" ref="Z61:Z66" si="47">IF(T61=0,0,X61/T61)</f>
        <v>2.0227045454545456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7">
        <v>795</v>
      </c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740</v>
      </c>
      <c r="M62" s="2"/>
      <c r="N62" s="6">
        <f t="shared" si="43"/>
        <v>13.454545454545455</v>
      </c>
      <c r="O62" s="11"/>
      <c r="P62" s="7">
        <v>1329.99</v>
      </c>
      <c r="Q62" s="2"/>
      <c r="R62" s="6">
        <f t="shared" si="44"/>
        <v>0</v>
      </c>
      <c r="S62" s="2"/>
      <c r="T62" s="7">
        <v>440</v>
      </c>
      <c r="U62" s="2"/>
      <c r="V62" s="6">
        <f t="shared" si="45"/>
        <v>0</v>
      </c>
      <c r="W62" s="2"/>
      <c r="X62" s="7">
        <f t="shared" si="46"/>
        <v>889.99</v>
      </c>
      <c r="Y62" s="2"/>
      <c r="Z62" s="6">
        <f t="shared" si="47"/>
        <v>2.0227045454545456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189.41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-1894.59</v>
      </c>
      <c r="M63" s="1"/>
      <c r="N63" s="5">
        <f t="shared" si="43"/>
        <v>-0.90911228406909783</v>
      </c>
      <c r="O63" s="14"/>
      <c r="P63" s="1">
        <f>SUM(OSRRefP22_11x_0)</f>
        <v>2388.2600000000002</v>
      </c>
      <c r="Q63" s="1"/>
      <c r="R63" s="5">
        <f t="shared" si="44"/>
        <v>0</v>
      </c>
      <c r="S63" s="1"/>
      <c r="T63" s="1">
        <f>SUM(OSRRefT22_11x_0)</f>
        <v>16672</v>
      </c>
      <c r="U63" s="1"/>
      <c r="V63" s="5">
        <f t="shared" si="45"/>
        <v>0</v>
      </c>
      <c r="W63" s="1"/>
      <c r="X63" s="1">
        <f t="shared" si="46"/>
        <v>-14283.74</v>
      </c>
      <c r="Y63" s="1"/>
      <c r="Z63" s="5">
        <f t="shared" si="47"/>
        <v>-0.85675023992322452</v>
      </c>
    </row>
    <row r="64" spans="1:26" s="24" customFormat="1" hidden="1" outlineLevel="2" x14ac:dyDescent="0.25">
      <c r="A64" s="27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3336</v>
      </c>
      <c r="U64" s="2"/>
      <c r="V64" s="6">
        <f t="shared" si="45"/>
        <v>0</v>
      </c>
      <c r="W64" s="2"/>
      <c r="X64" s="7">
        <f t="shared" si="46"/>
        <v>-3125.42</v>
      </c>
      <c r="Y64" s="2"/>
      <c r="Z64" s="6">
        <f t="shared" si="47"/>
        <v>-0.93687649880095925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7">
        <v>189.41</v>
      </c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-1060.5899999999999</v>
      </c>
      <c r="M65" s="2"/>
      <c r="N65" s="6">
        <f t="shared" si="43"/>
        <v>-0.84847199999999989</v>
      </c>
      <c r="O65" s="11"/>
      <c r="P65" s="7">
        <v>1954.97</v>
      </c>
      <c r="Q65" s="2"/>
      <c r="R65" s="6">
        <f t="shared" si="44"/>
        <v>0</v>
      </c>
      <c r="S65" s="2"/>
      <c r="T65" s="7">
        <v>10000</v>
      </c>
      <c r="U65" s="2"/>
      <c r="V65" s="6">
        <f t="shared" si="45"/>
        <v>0</v>
      </c>
      <c r="W65" s="2"/>
      <c r="X65" s="7">
        <f t="shared" si="46"/>
        <v>-8045.03</v>
      </c>
      <c r="Y65" s="2"/>
      <c r="Z65" s="6">
        <f t="shared" si="47"/>
        <v>-0.80450299999999997</v>
      </c>
    </row>
    <row r="66" spans="1:26" s="24" customFormat="1" hidden="1" outlineLevel="2" x14ac:dyDescent="0.25">
      <c r="A66" s="27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3336</v>
      </c>
      <c r="U66" s="2"/>
      <c r="V66" s="6">
        <f t="shared" si="45"/>
        <v>0</v>
      </c>
      <c r="W66" s="2"/>
      <c r="X66" s="7">
        <f t="shared" si="46"/>
        <v>-3113.29</v>
      </c>
      <c r="Y66" s="2"/>
      <c r="Z66" s="6">
        <f t="shared" si="47"/>
        <v>-0.93324040767386085</v>
      </c>
    </row>
    <row r="67" spans="1:26" s="28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270.55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-19.449999999999989</v>
      </c>
      <c r="M67" s="1"/>
      <c r="N67" s="5">
        <f t="shared" ref="N67:N72" si="51">IF(H67=0,0,L67/H67)</f>
        <v>-6.7068965517241341E-2</v>
      </c>
      <c r="O67" s="14"/>
      <c r="P67" s="1">
        <f>SUM(OSRRefP22_12x_0)</f>
        <v>2528.5500000000002</v>
      </c>
      <c r="Q67" s="1"/>
      <c r="R67" s="5">
        <f t="shared" ref="R67:R72" si="52">IF(P$12=0,0,P67/P$12)</f>
        <v>0</v>
      </c>
      <c r="S67" s="1"/>
      <c r="T67" s="1">
        <f>SUM(OSRRefT22_12x_0)</f>
        <v>2320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208.55000000000018</v>
      </c>
      <c r="Y67" s="1"/>
      <c r="Z67" s="5">
        <f t="shared" ref="Z67:Z72" si="55">IF(T67=0,0,X67/T67)</f>
        <v>8.9892241379310428E-2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7">
        <v>270.55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-19.449999999999989</v>
      </c>
      <c r="M68" s="2"/>
      <c r="N68" s="6">
        <f t="shared" si="51"/>
        <v>-6.7068965517241341E-2</v>
      </c>
      <c r="O68" s="11"/>
      <c r="P68" s="7">
        <v>2528.5500000000002</v>
      </c>
      <c r="Q68" s="2"/>
      <c r="R68" s="6">
        <f t="shared" si="52"/>
        <v>0</v>
      </c>
      <c r="S68" s="2"/>
      <c r="T68" s="7">
        <v>2320</v>
      </c>
      <c r="U68" s="2"/>
      <c r="V68" s="6">
        <f t="shared" si="53"/>
        <v>0</v>
      </c>
      <c r="W68" s="2"/>
      <c r="X68" s="7">
        <f t="shared" si="54"/>
        <v>208.55000000000018</v>
      </c>
      <c r="Y68" s="2"/>
      <c r="Z68" s="6">
        <f t="shared" si="55"/>
        <v>8.9892241379310428E-2</v>
      </c>
    </row>
    <row r="69" spans="1:26" s="28" customFormat="1" outlineLevel="1" collapsed="1" x14ac:dyDescent="0.25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4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7568</v>
      </c>
      <c r="U69" s="1"/>
      <c r="V69" s="5">
        <f t="shared" si="53"/>
        <v>0</v>
      </c>
      <c r="W69" s="1"/>
      <c r="X69" s="1">
        <f t="shared" si="54"/>
        <v>-7665</v>
      </c>
      <c r="Y69" s="1"/>
      <c r="Z69" s="5">
        <f t="shared" si="55"/>
        <v>-1.0128171247357294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7568</v>
      </c>
      <c r="U70" s="2"/>
      <c r="V70" s="6">
        <f t="shared" si="53"/>
        <v>0</v>
      </c>
      <c r="W70" s="2"/>
      <c r="X70" s="7">
        <f t="shared" si="54"/>
        <v>-7665</v>
      </c>
      <c r="Y70" s="2"/>
      <c r="Z70" s="6">
        <f t="shared" si="55"/>
        <v>-1.0128171247357294</v>
      </c>
    </row>
    <row r="71" spans="1:26" s="28" customFormat="1" outlineLevel="1" collapsed="1" x14ac:dyDescent="0.25">
      <c r="A71" s="29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4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7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58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6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3</v>
      </c>
      <c r="C76" s="25"/>
      <c r="D76" s="19">
        <f>+D16-D18+D74</f>
        <v>-44218.12</v>
      </c>
      <c r="E76" s="13"/>
      <c r="F76" s="21">
        <f>IF(D$12=0,0,D76/D$12)</f>
        <v>0</v>
      </c>
      <c r="G76" s="13"/>
      <c r="H76" s="19">
        <f>+H16-H18+H74</f>
        <v>-49905.525784615391</v>
      </c>
      <c r="I76" s="13"/>
      <c r="J76" s="21">
        <f>IF(H$12=0,0,H76/H$12)</f>
        <v>0</v>
      </c>
      <c r="K76" s="15"/>
      <c r="L76" s="19">
        <f>+D76-H76</f>
        <v>5687.4057846153883</v>
      </c>
      <c r="M76" s="15"/>
      <c r="N76" s="21">
        <f>IF(H76=0,0,L76/H76)</f>
        <v>-0.1139634478386494</v>
      </c>
      <c r="O76" s="26"/>
      <c r="P76" s="19">
        <f>+P16-P18+P74</f>
        <v>-367065.24000000005</v>
      </c>
      <c r="Q76" s="13"/>
      <c r="R76" s="21">
        <f>IF(P$12=0,0,P76/P$12)</f>
        <v>0</v>
      </c>
      <c r="S76" s="13"/>
      <c r="T76" s="19">
        <f>+T16-T18+T74</f>
        <v>-426171.10061538476</v>
      </c>
      <c r="U76" s="13"/>
      <c r="V76" s="21">
        <f>IF(T$12=0,0,T76/T$12)</f>
        <v>0</v>
      </c>
      <c r="W76" s="15"/>
      <c r="X76" s="19">
        <f>+P76-T76</f>
        <v>59105.860615384707</v>
      </c>
      <c r="Y76" s="15"/>
      <c r="Z76" s="21">
        <f>IF(T76=0,0,X76/T76)</f>
        <v>-0.13869044740489611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4</v>
      </c>
      <c r="C80" s="25"/>
      <c r="D80" s="34">
        <f>+D76-D78</f>
        <v>-44218.12</v>
      </c>
      <c r="E80" s="13"/>
      <c r="F80" s="30">
        <f>IF(D$12=0,0,D80/D$12)</f>
        <v>0</v>
      </c>
      <c r="G80" s="13"/>
      <c r="H80" s="34">
        <f>+H76-H78</f>
        <v>-49905.525784615391</v>
      </c>
      <c r="I80" s="13"/>
      <c r="J80" s="30">
        <f>IF(H$12=0,0,H80/H$12)</f>
        <v>0</v>
      </c>
      <c r="K80" s="15"/>
      <c r="L80" s="34">
        <f>D80-H80</f>
        <v>5687.4057846153883</v>
      </c>
      <c r="M80" s="15"/>
      <c r="N80" s="30">
        <f>IF(H80=0,0,L80/H80)</f>
        <v>-0.1139634478386494</v>
      </c>
      <c r="O80" s="26"/>
      <c r="P80" s="34">
        <f>+P76-P78</f>
        <v>-367065.24000000005</v>
      </c>
      <c r="Q80" s="13"/>
      <c r="R80" s="30">
        <f>IF(P$12=0,0,P80/P$12)</f>
        <v>0</v>
      </c>
      <c r="S80" s="13"/>
      <c r="T80" s="34">
        <f>+T76-T78</f>
        <v>-426171.10061538476</v>
      </c>
      <c r="U80" s="13"/>
      <c r="V80" s="30">
        <f>IF(T$12=0,0,T80/T$12)</f>
        <v>0</v>
      </c>
      <c r="W80" s="15"/>
      <c r="X80" s="34">
        <f>P80-T80</f>
        <v>59105.860615384707</v>
      </c>
      <c r="Y80" s="15"/>
      <c r="Z80" s="30">
        <f>IF(T80=0,0,X80/T80)</f>
        <v>-0.13869044740489611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5</v>
      </c>
      <c r="C83" s="25"/>
      <c r="D83" s="35">
        <f>SUM(D80:D82)</f>
        <v>-44218.12</v>
      </c>
      <c r="E83" s="13"/>
      <c r="F83" s="31">
        <f>IF(D$12=0,0,D83/D$12)</f>
        <v>0</v>
      </c>
      <c r="G83" s="13"/>
      <c r="H83" s="35">
        <f>SUM(H80:H82)</f>
        <v>-49905.525784615391</v>
      </c>
      <c r="I83" s="13"/>
      <c r="J83" s="31">
        <f>IF(H$12=0,0,H83/H$12)</f>
        <v>0</v>
      </c>
      <c r="K83" s="15"/>
      <c r="L83" s="35">
        <f>+D83-H83</f>
        <v>5687.4057846153883</v>
      </c>
      <c r="M83" s="15"/>
      <c r="N83" s="31">
        <f>IF(H83=0,0,L83/H83)</f>
        <v>-0.1139634478386494</v>
      </c>
      <c r="O83" s="26"/>
      <c r="P83" s="35">
        <f>SUM(P80:P82)</f>
        <v>-367065.24000000005</v>
      </c>
      <c r="Q83" s="13"/>
      <c r="R83" s="31">
        <f>IF(P$12=0,0,P83/P$12)</f>
        <v>0</v>
      </c>
      <c r="S83" s="13"/>
      <c r="T83" s="35">
        <f>SUM(T80:T82)</f>
        <v>-426171.10061538476</v>
      </c>
      <c r="U83" s="13"/>
      <c r="V83" s="31">
        <f>IF(T$12=0,0,T83/T$12)</f>
        <v>0</v>
      </c>
      <c r="W83" s="15"/>
      <c r="X83" s="35">
        <f>+P83-T83</f>
        <v>59105.860615384707</v>
      </c>
      <c r="Y83" s="15"/>
      <c r="Z83" s="31">
        <f>IF(T83=0,0,X83/T83)</f>
        <v>-0.13869044740489611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3">
        <v>44267.671621678244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62" t="s">
        <v>314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7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48909.27</v>
      </c>
      <c r="E18" s="20"/>
      <c r="F18" s="33">
        <f t="shared" ref="F18:F29" si="0">IF(D$12=0,0,D18/D$12)</f>
        <v>0</v>
      </c>
      <c r="G18" s="20"/>
      <c r="H18" s="20">
        <f>SUM(OSRRefH22x_0)</f>
        <v>51259.722846153818</v>
      </c>
      <c r="I18" s="20"/>
      <c r="J18" s="33">
        <f t="shared" ref="J18:J29" si="1">IF(H$12=0,0,H18/H$12)</f>
        <v>0</v>
      </c>
      <c r="K18" s="4"/>
      <c r="L18" s="20">
        <f t="shared" ref="L18:L29" si="2">+D18-H18</f>
        <v>-2350.4528461538212</v>
      </c>
      <c r="M18" s="4"/>
      <c r="N18" s="33">
        <f t="shared" ref="N18:N29" si="3">IF(H18=0,0,L18/H18)</f>
        <v>-4.5853795448880061E-2</v>
      </c>
      <c r="O18" s="10"/>
      <c r="P18" s="20">
        <f>SUM(OSRRefP22x_0)</f>
        <v>406084.63999999996</v>
      </c>
      <c r="Q18" s="20"/>
      <c r="R18" s="33">
        <f t="shared" ref="R18:R29" si="4">IF(P$12=0,0,P18/P$12)</f>
        <v>0</v>
      </c>
      <c r="S18" s="20"/>
      <c r="T18" s="20">
        <f>SUM(OSRRefT22x_0)</f>
        <v>423323.21523076924</v>
      </c>
      <c r="U18" s="20"/>
      <c r="V18" s="33">
        <f t="shared" ref="V18:V29" si="5">IF(T$12=0,0,T18/T$12)</f>
        <v>0</v>
      </c>
      <c r="W18" s="4"/>
      <c r="X18" s="20">
        <f t="shared" ref="X18:X29" si="6">+P18-T18</f>
        <v>-17238.575230769289</v>
      </c>
      <c r="Y18" s="4"/>
      <c r="Z18" s="33">
        <f t="shared" ref="Z18:Z29" si="7">IF(T18=0,0,X18/T18)</f>
        <v>-4.0722017150351418E-2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10174.23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-807.41592307691462</v>
      </c>
      <c r="M19" s="1"/>
      <c r="N19" s="5">
        <f t="shared" si="3"/>
        <v>-7.352412641352829E-2</v>
      </c>
      <c r="O19" s="14"/>
      <c r="P19" s="1">
        <f>SUM(OSRRefP22_0x_0)</f>
        <v>98516.28</v>
      </c>
      <c r="Q19" s="1"/>
      <c r="R19" s="5">
        <f t="shared" si="4"/>
        <v>0</v>
      </c>
      <c r="S19" s="1"/>
      <c r="T19" s="1">
        <f>SUM(OSRRefT22_0x_0)</f>
        <v>95289.292153846109</v>
      </c>
      <c r="U19" s="1"/>
      <c r="V19" s="5">
        <f t="shared" si="5"/>
        <v>0</v>
      </c>
      <c r="W19" s="1"/>
      <c r="X19" s="1">
        <f t="shared" si="6"/>
        <v>3226.9878461538901</v>
      </c>
      <c r="Y19" s="1"/>
      <c r="Z19" s="5">
        <f t="shared" si="7"/>
        <v>3.3865167567242137E-2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1606.5413076923101</v>
      </c>
      <c r="I20" s="2"/>
      <c r="J20" s="6">
        <f t="shared" si="1"/>
        <v>0</v>
      </c>
      <c r="K20" s="2"/>
      <c r="L20" s="7">
        <f t="shared" si="2"/>
        <v>-189.40130769230996</v>
      </c>
      <c r="M20" s="2"/>
      <c r="N20" s="6">
        <f t="shared" si="3"/>
        <v>-0.11789382992235187</v>
      </c>
      <c r="O20" s="11"/>
      <c r="P20" s="7">
        <v>14124.85</v>
      </c>
      <c r="Q20" s="2"/>
      <c r="R20" s="6">
        <f t="shared" si="4"/>
        <v>0</v>
      </c>
      <c r="S20" s="2"/>
      <c r="T20" s="7">
        <v>14503.02369230769</v>
      </c>
      <c r="U20" s="2"/>
      <c r="V20" s="6">
        <f t="shared" si="5"/>
        <v>0</v>
      </c>
      <c r="W20" s="2"/>
      <c r="X20" s="7">
        <f t="shared" si="6"/>
        <v>-378.17369230768963</v>
      </c>
      <c r="Y20" s="2"/>
      <c r="Z20" s="6">
        <f t="shared" si="7"/>
        <v>-2.6075506758516193E-2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61.13</v>
      </c>
      <c r="E21" s="2"/>
      <c r="F21" s="6">
        <f t="shared" si="0"/>
        <v>0</v>
      </c>
      <c r="G21" s="2"/>
      <c r="H21" s="7">
        <v>69.274615384615402</v>
      </c>
      <c r="I21" s="2"/>
      <c r="J21" s="6">
        <f t="shared" si="1"/>
        <v>0</v>
      </c>
      <c r="K21" s="2"/>
      <c r="L21" s="7">
        <f t="shared" si="2"/>
        <v>-8.144615384615399</v>
      </c>
      <c r="M21" s="2"/>
      <c r="N21" s="6">
        <f t="shared" si="3"/>
        <v>-0.11756998345492317</v>
      </c>
      <c r="O21" s="11"/>
      <c r="P21" s="7">
        <v>661.72</v>
      </c>
      <c r="Q21" s="2"/>
      <c r="R21" s="6">
        <f t="shared" si="4"/>
        <v>0</v>
      </c>
      <c r="S21" s="2"/>
      <c r="T21" s="7">
        <v>625.37538461538441</v>
      </c>
      <c r="U21" s="2"/>
      <c r="V21" s="6">
        <f t="shared" si="5"/>
        <v>0</v>
      </c>
      <c r="W21" s="2"/>
      <c r="X21" s="7">
        <f t="shared" si="6"/>
        <v>36.344615384615622</v>
      </c>
      <c r="Y21" s="2"/>
      <c r="Z21" s="6">
        <f t="shared" si="7"/>
        <v>5.8116478964019551E-2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4844.5200000000004</v>
      </c>
      <c r="E22" s="2"/>
      <c r="F22" s="6">
        <f t="shared" si="0"/>
        <v>0</v>
      </c>
      <c r="G22" s="2"/>
      <c r="H22" s="7">
        <v>4730.4807692307704</v>
      </c>
      <c r="I22" s="2"/>
      <c r="J22" s="6">
        <f t="shared" si="1"/>
        <v>0</v>
      </c>
      <c r="K22" s="2"/>
      <c r="L22" s="7">
        <f t="shared" si="2"/>
        <v>114.03923076923002</v>
      </c>
      <c r="M22" s="2"/>
      <c r="N22" s="6">
        <f t="shared" si="3"/>
        <v>2.4107323617293574E-2</v>
      </c>
      <c r="O22" s="11"/>
      <c r="P22" s="7">
        <v>43069.420000000006</v>
      </c>
      <c r="Q22" s="2"/>
      <c r="R22" s="6">
        <f t="shared" si="4"/>
        <v>0</v>
      </c>
      <c r="S22" s="2"/>
      <c r="T22" s="7">
        <v>40703.942307692305</v>
      </c>
      <c r="U22" s="2"/>
      <c r="V22" s="6">
        <f t="shared" si="5"/>
        <v>0</v>
      </c>
      <c r="W22" s="2"/>
      <c r="X22" s="7">
        <f t="shared" si="6"/>
        <v>2365.4776923077006</v>
      </c>
      <c r="Y22" s="2"/>
      <c r="Z22" s="6">
        <f t="shared" si="7"/>
        <v>5.8114215925976008E-2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6">
        <f t="shared" si="0"/>
        <v>0</v>
      </c>
      <c r="G23" s="2"/>
      <c r="H23" s="7">
        <v>54.58</v>
      </c>
      <c r="I23" s="2"/>
      <c r="J23" s="6">
        <f t="shared" si="1"/>
        <v>0</v>
      </c>
      <c r="K23" s="2"/>
      <c r="L23" s="7">
        <f t="shared" si="2"/>
        <v>-6.4200000000000017</v>
      </c>
      <c r="M23" s="2"/>
      <c r="N23" s="6">
        <f t="shared" si="3"/>
        <v>-0.11762550384756325</v>
      </c>
      <c r="O23" s="11"/>
      <c r="P23" s="7">
        <v>482.18</v>
      </c>
      <c r="Q23" s="2"/>
      <c r="R23" s="6">
        <f t="shared" si="4"/>
        <v>0</v>
      </c>
      <c r="S23" s="2"/>
      <c r="T23" s="7">
        <v>492.72</v>
      </c>
      <c r="U23" s="2"/>
      <c r="V23" s="6">
        <f t="shared" si="5"/>
        <v>0</v>
      </c>
      <c r="W23" s="2"/>
      <c r="X23" s="7">
        <f t="shared" si="6"/>
        <v>-10.54000000000002</v>
      </c>
      <c r="Y23" s="2"/>
      <c r="Z23" s="6">
        <f t="shared" si="7"/>
        <v>-2.1391459652541037E-2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1521.5384615384601</v>
      </c>
      <c r="I24" s="2"/>
      <c r="J24" s="6">
        <f t="shared" si="1"/>
        <v>0</v>
      </c>
      <c r="K24" s="2"/>
      <c r="L24" s="7">
        <f t="shared" si="2"/>
        <v>339.67153846153997</v>
      </c>
      <c r="M24" s="2"/>
      <c r="N24" s="6">
        <f t="shared" si="3"/>
        <v>0.22324216380182121</v>
      </c>
      <c r="O24" s="11"/>
      <c r="P24" s="7">
        <v>18206.11</v>
      </c>
      <c r="Q24" s="2"/>
      <c r="R24" s="6">
        <f t="shared" si="4"/>
        <v>0</v>
      </c>
      <c r="S24" s="2"/>
      <c r="T24" s="7">
        <v>13313.461538461541</v>
      </c>
      <c r="U24" s="2"/>
      <c r="V24" s="6">
        <f t="shared" si="5"/>
        <v>0</v>
      </c>
      <c r="W24" s="2"/>
      <c r="X24" s="7">
        <f t="shared" si="6"/>
        <v>4892.6484615384597</v>
      </c>
      <c r="Y24" s="2"/>
      <c r="Z24" s="6">
        <f t="shared" si="7"/>
        <v>0.36749634551494997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2400</v>
      </c>
      <c r="U25" s="2"/>
      <c r="V25" s="6">
        <f t="shared" si="5"/>
        <v>0</v>
      </c>
      <c r="W25" s="2"/>
      <c r="X25" s="7">
        <f t="shared" si="6"/>
        <v>-2400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1038.9100000000001</v>
      </c>
      <c r="E27" s="2"/>
      <c r="F27" s="6">
        <f t="shared" si="0"/>
        <v>0</v>
      </c>
      <c r="G27" s="2"/>
      <c r="H27" s="7">
        <v>1049.61538461538</v>
      </c>
      <c r="I27" s="2"/>
      <c r="J27" s="6">
        <f t="shared" si="1"/>
        <v>0</v>
      </c>
      <c r="K27" s="2"/>
      <c r="L27" s="7">
        <f t="shared" si="2"/>
        <v>-10.705384615379899</v>
      </c>
      <c r="M27" s="2"/>
      <c r="N27" s="6">
        <f t="shared" si="3"/>
        <v>-1.0199340417730985E-2</v>
      </c>
      <c r="O27" s="11"/>
      <c r="P27" s="7">
        <v>11726.46</v>
      </c>
      <c r="Q27" s="2"/>
      <c r="R27" s="6">
        <f t="shared" si="4"/>
        <v>0</v>
      </c>
      <c r="S27" s="2"/>
      <c r="T27" s="7">
        <v>9225.3846153845898</v>
      </c>
      <c r="U27" s="2"/>
      <c r="V27" s="6">
        <f t="shared" si="5"/>
        <v>0</v>
      </c>
      <c r="W27" s="2"/>
      <c r="X27" s="7">
        <f t="shared" si="6"/>
        <v>2501.0753846154093</v>
      </c>
      <c r="Y27" s="2"/>
      <c r="Z27" s="6">
        <f t="shared" si="7"/>
        <v>0.27110797965480204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1049.61538461538</v>
      </c>
      <c r="I28" s="2"/>
      <c r="J28" s="6">
        <f t="shared" si="1"/>
        <v>0</v>
      </c>
      <c r="K28" s="2"/>
      <c r="L28" s="7">
        <f t="shared" si="2"/>
        <v>-205.55538461538004</v>
      </c>
      <c r="M28" s="2"/>
      <c r="N28" s="6">
        <f t="shared" si="3"/>
        <v>-0.1958387687797693</v>
      </c>
      <c r="O28" s="11"/>
      <c r="P28" s="7">
        <v>7949.41</v>
      </c>
      <c r="Q28" s="2"/>
      <c r="R28" s="6">
        <f t="shared" si="4"/>
        <v>0</v>
      </c>
      <c r="S28" s="2"/>
      <c r="T28" s="7">
        <v>9225.3846153845898</v>
      </c>
      <c r="U28" s="2"/>
      <c r="V28" s="6">
        <f t="shared" si="5"/>
        <v>0</v>
      </c>
      <c r="W28" s="2"/>
      <c r="X28" s="7">
        <f t="shared" si="6"/>
        <v>-1275.9746153845899</v>
      </c>
      <c r="Y28" s="2"/>
      <c r="Z28" s="6">
        <f t="shared" si="7"/>
        <v>-0.13831126490452528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59.1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-540.9</v>
      </c>
      <c r="M29" s="2"/>
      <c r="N29" s="6">
        <f t="shared" si="3"/>
        <v>-0.90149999999999997</v>
      </c>
      <c r="O29" s="11"/>
      <c r="P29" s="7">
        <v>1383.85</v>
      </c>
      <c r="Q29" s="2"/>
      <c r="R29" s="6">
        <f t="shared" si="4"/>
        <v>0</v>
      </c>
      <c r="S29" s="2"/>
      <c r="T29" s="7">
        <v>4800</v>
      </c>
      <c r="U29" s="2"/>
      <c r="V29" s="6">
        <f t="shared" si="5"/>
        <v>0</v>
      </c>
      <c r="W29" s="2"/>
      <c r="X29" s="7">
        <f t="shared" si="6"/>
        <v>-3416.15</v>
      </c>
      <c r="Y29" s="2"/>
      <c r="Z29" s="6">
        <f t="shared" si="7"/>
        <v>-0.71169791666666671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17527.439999999999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-1365.6369230769014</v>
      </c>
      <c r="M30" s="1"/>
      <c r="N30" s="5">
        <f t="shared" ref="N30:N40" si="11">IF(H30=0,0,L30/H30)</f>
        <v>-7.2282398925124142E-2</v>
      </c>
      <c r="O30" s="14"/>
      <c r="P30" s="1">
        <f>SUM(OSRRefP22_1x_0)</f>
        <v>163285.63999999998</v>
      </c>
      <c r="Q30" s="1"/>
      <c r="R30" s="5">
        <f t="shared" ref="R30:R40" si="12">IF(P$12=0,0,P30/P$12)</f>
        <v>0</v>
      </c>
      <c r="S30" s="1"/>
      <c r="T30" s="1">
        <f>SUM(OSRRefT22_1x_0)</f>
        <v>171056.92307692312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-7771.2830769231368</v>
      </c>
      <c r="Y30" s="1"/>
      <c r="Z30" s="5">
        <f t="shared" ref="Z30:Z40" si="15">IF(T30=0,0,X30/T30)</f>
        <v>-4.5430976642953202E-2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17527.439999999999</v>
      </c>
      <c r="E32" s="2"/>
      <c r="F32" s="6">
        <f t="shared" si="8"/>
        <v>0</v>
      </c>
      <c r="G32" s="2"/>
      <c r="H32" s="7">
        <v>15923.0769230769</v>
      </c>
      <c r="I32" s="2"/>
      <c r="J32" s="6">
        <f t="shared" si="9"/>
        <v>0</v>
      </c>
      <c r="K32" s="2"/>
      <c r="L32" s="7">
        <f t="shared" si="10"/>
        <v>1604.3630769230986</v>
      </c>
      <c r="M32" s="2"/>
      <c r="N32" s="6">
        <f t="shared" si="11"/>
        <v>0.10075710144927687</v>
      </c>
      <c r="O32" s="11"/>
      <c r="P32" s="7">
        <v>149072.4</v>
      </c>
      <c r="Q32" s="2"/>
      <c r="R32" s="6">
        <f t="shared" si="12"/>
        <v>0</v>
      </c>
      <c r="S32" s="2"/>
      <c r="T32" s="7">
        <v>139326.92307692312</v>
      </c>
      <c r="U32" s="2"/>
      <c r="V32" s="6">
        <f t="shared" si="13"/>
        <v>0</v>
      </c>
      <c r="W32" s="2"/>
      <c r="X32" s="7">
        <f t="shared" si="14"/>
        <v>9745.4769230768725</v>
      </c>
      <c r="Y32" s="2"/>
      <c r="Z32" s="6">
        <f t="shared" si="15"/>
        <v>6.9946832298136266E-2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2970</v>
      </c>
      <c r="I34" s="2"/>
      <c r="J34" s="6">
        <f t="shared" si="9"/>
        <v>0</v>
      </c>
      <c r="K34" s="2"/>
      <c r="L34" s="7">
        <f t="shared" si="10"/>
        <v>-2970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31730</v>
      </c>
      <c r="U34" s="2"/>
      <c r="V34" s="6">
        <f t="shared" si="13"/>
        <v>0</v>
      </c>
      <c r="W34" s="2"/>
      <c r="X34" s="7">
        <f t="shared" si="14"/>
        <v>-17516.760000000002</v>
      </c>
      <c r="Y34" s="2"/>
      <c r="Z34" s="6">
        <f t="shared" si="15"/>
        <v>-0.55205672864796729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8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4994.03</v>
      </c>
      <c r="E43" s="1"/>
      <c r="F43" s="5">
        <f t="shared" si="16"/>
        <v>0</v>
      </c>
      <c r="G43" s="1"/>
      <c r="H43" s="1">
        <f>SUM(OSRRefH22_3x_0)</f>
        <v>4994</v>
      </c>
      <c r="I43" s="1"/>
      <c r="J43" s="5">
        <f t="shared" si="17"/>
        <v>0</v>
      </c>
      <c r="K43" s="1"/>
      <c r="L43" s="1">
        <f t="shared" si="18"/>
        <v>2.9999999999745341E-2</v>
      </c>
      <c r="M43" s="1"/>
      <c r="N43" s="5">
        <f t="shared" si="19"/>
        <v>6.0072086503294633E-6</v>
      </c>
      <c r="O43" s="14"/>
      <c r="P43" s="1">
        <f>SUM(OSRRefP22_3x_0)</f>
        <v>41522.76</v>
      </c>
      <c r="Q43" s="1"/>
      <c r="R43" s="5">
        <f t="shared" si="20"/>
        <v>0</v>
      </c>
      <c r="S43" s="1"/>
      <c r="T43" s="1">
        <f>SUM(OSRRefT22_3x_0)</f>
        <v>36260</v>
      </c>
      <c r="U43" s="1"/>
      <c r="V43" s="5">
        <f t="shared" si="21"/>
        <v>0</v>
      </c>
      <c r="W43" s="1"/>
      <c r="X43" s="1">
        <f t="shared" si="22"/>
        <v>5262.760000000002</v>
      </c>
      <c r="Y43" s="1"/>
      <c r="Z43" s="5">
        <f t="shared" si="23"/>
        <v>0.14513954771097634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4994.03</v>
      </c>
      <c r="E44" s="2"/>
      <c r="F44" s="6">
        <f t="shared" si="16"/>
        <v>0</v>
      </c>
      <c r="G44" s="2"/>
      <c r="H44" s="7">
        <v>4994</v>
      </c>
      <c r="I44" s="2"/>
      <c r="J44" s="6">
        <f t="shared" si="17"/>
        <v>0</v>
      </c>
      <c r="K44" s="2"/>
      <c r="L44" s="7">
        <f t="shared" si="18"/>
        <v>2.9999999999745341E-2</v>
      </c>
      <c r="M44" s="2"/>
      <c r="N44" s="6">
        <f t="shared" si="19"/>
        <v>6.0072086503294633E-6</v>
      </c>
      <c r="O44" s="11"/>
      <c r="P44" s="7">
        <v>41522.76</v>
      </c>
      <c r="Q44" s="2"/>
      <c r="R44" s="6">
        <f t="shared" si="20"/>
        <v>0</v>
      </c>
      <c r="S44" s="2"/>
      <c r="T44" s="7">
        <v>36160</v>
      </c>
      <c r="U44" s="2"/>
      <c r="V44" s="6">
        <f t="shared" si="21"/>
        <v>0</v>
      </c>
      <c r="W44" s="2"/>
      <c r="X44" s="7">
        <f t="shared" si="22"/>
        <v>5362.760000000002</v>
      </c>
      <c r="Y44" s="2"/>
      <c r="Z44" s="6">
        <f t="shared" si="23"/>
        <v>0.1483064159292036</v>
      </c>
    </row>
    <row r="45" spans="1:26" s="24" customFormat="1" hidden="1" outlineLevel="2" x14ac:dyDescent="0.25">
      <c r="A45" s="27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8" customFormat="1" outlineLevel="1" collapsed="1" x14ac:dyDescent="0.25">
      <c r="A46" s="29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4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8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8" customFormat="1" outlineLevel="1" collapsed="1" x14ac:dyDescent="0.25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4"/>
      <c r="P50" s="1">
        <f>SUM(OSRRefP22_6x_0)</f>
        <v>450.72</v>
      </c>
      <c r="Q50" s="1"/>
      <c r="R50" s="5">
        <f t="shared" si="28"/>
        <v>0</v>
      </c>
      <c r="S50" s="1"/>
      <c r="T50" s="1">
        <f>SUM(OSRRefT22_6x_0)</f>
        <v>1027</v>
      </c>
      <c r="U50" s="1"/>
      <c r="V50" s="5">
        <f t="shared" si="29"/>
        <v>0</v>
      </c>
      <c r="W50" s="1"/>
      <c r="X50" s="1">
        <f t="shared" si="30"/>
        <v>-576.28</v>
      </c>
      <c r="Y50" s="1"/>
      <c r="Z50" s="5">
        <f t="shared" si="31"/>
        <v>-0.5611295034079844</v>
      </c>
    </row>
    <row r="51" spans="1:26" s="24" customFormat="1" hidden="1" outlineLevel="2" x14ac:dyDescent="0.25">
      <c r="A51" s="27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450.72</v>
      </c>
      <c r="Q51" s="2"/>
      <c r="R51" s="6">
        <f t="shared" si="28"/>
        <v>0</v>
      </c>
      <c r="S51" s="2"/>
      <c r="T51" s="7">
        <v>1027</v>
      </c>
      <c r="U51" s="2"/>
      <c r="V51" s="6">
        <f t="shared" si="29"/>
        <v>0</v>
      </c>
      <c r="W51" s="2"/>
      <c r="X51" s="7">
        <f t="shared" si="30"/>
        <v>-576.28</v>
      </c>
      <c r="Y51" s="2"/>
      <c r="Z51" s="6">
        <f t="shared" si="31"/>
        <v>-0.5611295034079844</v>
      </c>
    </row>
    <row r="52" spans="1:26" s="28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14990.82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80.819999999999709</v>
      </c>
      <c r="M52" s="1"/>
      <c r="N52" s="5">
        <f t="shared" si="27"/>
        <v>5.4205231388329781E-3</v>
      </c>
      <c r="O52" s="14"/>
      <c r="P52" s="1">
        <f>SUM(OSRRefP22_7x_0)</f>
        <v>98150.98</v>
      </c>
      <c r="Q52" s="1"/>
      <c r="R52" s="5">
        <f t="shared" si="28"/>
        <v>0</v>
      </c>
      <c r="S52" s="1"/>
      <c r="T52" s="1">
        <f>SUM(OSRRefT22_7x_0)</f>
        <v>106830</v>
      </c>
      <c r="U52" s="1"/>
      <c r="V52" s="5">
        <f t="shared" si="29"/>
        <v>0</v>
      </c>
      <c r="W52" s="1"/>
      <c r="X52" s="1">
        <f t="shared" si="30"/>
        <v>-8679.0200000000041</v>
      </c>
      <c r="Y52" s="1"/>
      <c r="Z52" s="5">
        <f t="shared" si="31"/>
        <v>-8.1241411588505133E-2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433.82</v>
      </c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-226.18</v>
      </c>
      <c r="M53" s="2"/>
      <c r="N53" s="6">
        <f t="shared" si="27"/>
        <v>-0.34269696969696972</v>
      </c>
      <c r="O53" s="11"/>
      <c r="P53" s="7">
        <v>849.98</v>
      </c>
      <c r="Q53" s="2"/>
      <c r="R53" s="6">
        <f t="shared" si="28"/>
        <v>0</v>
      </c>
      <c r="S53" s="2"/>
      <c r="T53" s="7">
        <v>5280</v>
      </c>
      <c r="U53" s="2"/>
      <c r="V53" s="6">
        <f t="shared" si="29"/>
        <v>0</v>
      </c>
      <c r="W53" s="2"/>
      <c r="X53" s="7">
        <f t="shared" si="30"/>
        <v>-4430.0200000000004</v>
      </c>
      <c r="Y53" s="2"/>
      <c r="Z53" s="6">
        <f t="shared" si="31"/>
        <v>-0.83901893939393946</v>
      </c>
    </row>
    <row r="54" spans="1:26" s="24" customFormat="1" hidden="1" outlineLevel="2" x14ac:dyDescent="0.25">
      <c r="A54" s="27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12800</v>
      </c>
      <c r="U54" s="2"/>
      <c r="V54" s="6">
        <f t="shared" si="29"/>
        <v>0</v>
      </c>
      <c r="W54" s="2"/>
      <c r="X54" s="7">
        <f t="shared" si="30"/>
        <v>-12800</v>
      </c>
      <c r="Y54" s="2"/>
      <c r="Z54" s="6">
        <f t="shared" si="31"/>
        <v>-1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14557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1907</v>
      </c>
      <c r="M55" s="2"/>
      <c r="N55" s="6">
        <f t="shared" si="27"/>
        <v>0.15075098814229249</v>
      </c>
      <c r="O55" s="11"/>
      <c r="P55" s="7">
        <v>97301</v>
      </c>
      <c r="Q55" s="2"/>
      <c r="R55" s="6">
        <f t="shared" si="28"/>
        <v>0</v>
      </c>
      <c r="S55" s="2"/>
      <c r="T55" s="7">
        <v>88750</v>
      </c>
      <c r="U55" s="2"/>
      <c r="V55" s="6">
        <f t="shared" si="29"/>
        <v>0</v>
      </c>
      <c r="W55" s="2"/>
      <c r="X55" s="7">
        <f t="shared" si="30"/>
        <v>8551</v>
      </c>
      <c r="Y55" s="2"/>
      <c r="Z55" s="6">
        <f t="shared" si="31"/>
        <v>9.6349295774647889E-2</v>
      </c>
    </row>
    <row r="56" spans="1:26" s="28" customFormat="1" outlineLevel="1" collapsed="1" x14ac:dyDescent="0.25">
      <c r="A56" s="29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4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1700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-1700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7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25">
      <c r="A58" s="27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800</v>
      </c>
      <c r="U58" s="2"/>
      <c r="V58" s="6">
        <f t="shared" si="37"/>
        <v>0</v>
      </c>
      <c r="W58" s="2"/>
      <c r="X58" s="7">
        <f t="shared" si="38"/>
        <v>-800</v>
      </c>
      <c r="Y58" s="2"/>
      <c r="Z58" s="6">
        <f t="shared" si="39"/>
        <v>-1</v>
      </c>
    </row>
    <row r="59" spans="1:26" s="28" customFormat="1" outlineLevel="1" collapsed="1" x14ac:dyDescent="0.25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646.02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346.02</v>
      </c>
      <c r="M59" s="1"/>
      <c r="N59" s="5">
        <f t="shared" ref="N59:N63" si="43">IF(H59=0,0,L59/H59)</f>
        <v>1.1534</v>
      </c>
      <c r="O59" s="14"/>
      <c r="P59" s="1">
        <f>SUM(OSRRefP22_9x_0)</f>
        <v>-2179.5100000000002</v>
      </c>
      <c r="Q59" s="1"/>
      <c r="R59" s="5">
        <f t="shared" ref="R59:R63" si="44">IF(P$12=0,0,P59/P$12)</f>
        <v>0</v>
      </c>
      <c r="S59" s="1"/>
      <c r="T59" s="1">
        <f>SUM(OSRRefT22_9x_0)</f>
        <v>2400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-4579.51</v>
      </c>
      <c r="Y59" s="1"/>
      <c r="Z59" s="5">
        <f t="shared" ref="Z59:Z63" si="47">IF(T59=0,0,X59/T59)</f>
        <v>-1.9081291666666667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7">
        <v>646.02</v>
      </c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346.02</v>
      </c>
      <c r="M60" s="2"/>
      <c r="N60" s="6">
        <f t="shared" si="43"/>
        <v>1.1534</v>
      </c>
      <c r="O60" s="11"/>
      <c r="P60" s="7">
        <v>-2179.5100000000002</v>
      </c>
      <c r="Q60" s="2"/>
      <c r="R60" s="6">
        <f t="shared" si="44"/>
        <v>0</v>
      </c>
      <c r="S60" s="2"/>
      <c r="T60" s="7">
        <v>2400</v>
      </c>
      <c r="U60" s="2"/>
      <c r="V60" s="6">
        <f t="shared" si="45"/>
        <v>0</v>
      </c>
      <c r="W60" s="2"/>
      <c r="X60" s="7">
        <f t="shared" si="46"/>
        <v>-4579.51</v>
      </c>
      <c r="Y60" s="2"/>
      <c r="Z60" s="6">
        <f t="shared" si="47"/>
        <v>-1.9081291666666667</v>
      </c>
    </row>
    <row r="61" spans="1:26" s="28" customFormat="1" outlineLevel="1" collapsed="1" x14ac:dyDescent="0.25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520.39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125.38999999999999</v>
      </c>
      <c r="M61" s="1"/>
      <c r="N61" s="5">
        <f t="shared" si="43"/>
        <v>0.31744303797468348</v>
      </c>
      <c r="O61" s="14"/>
      <c r="P61" s="1">
        <f>SUM(OSRRefP22_10x_0)</f>
        <v>6233.07</v>
      </c>
      <c r="Q61" s="1"/>
      <c r="R61" s="5">
        <f t="shared" si="44"/>
        <v>0</v>
      </c>
      <c r="S61" s="1"/>
      <c r="T61" s="1">
        <f>SUM(OSRRefT22_10x_0)</f>
        <v>3160</v>
      </c>
      <c r="U61" s="1"/>
      <c r="V61" s="5">
        <f t="shared" si="45"/>
        <v>0</v>
      </c>
      <c r="W61" s="1"/>
      <c r="X61" s="1">
        <f t="shared" si="46"/>
        <v>3073.0699999999997</v>
      </c>
      <c r="Y61" s="1"/>
      <c r="Z61" s="5">
        <f t="shared" si="47"/>
        <v>0.97249050632911382</v>
      </c>
    </row>
    <row r="62" spans="1:26" s="24" customFormat="1" hidden="1" outlineLevel="2" x14ac:dyDescent="0.25">
      <c r="A62" s="27"/>
      <c r="B62" s="11" t="str">
        <f>CONCATENATE("          ", "6303", " - ", "DATA PHONE LINES")</f>
        <v xml:space="preserve">          6303 - DATA PHONE LINES</v>
      </c>
      <c r="C62" s="11"/>
      <c r="D62" s="7">
        <v>78.989999999999995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-256.01</v>
      </c>
      <c r="M62" s="2"/>
      <c r="N62" s="6">
        <f t="shared" si="43"/>
        <v>-0.76420895522388055</v>
      </c>
      <c r="O62" s="11"/>
      <c r="P62" s="7">
        <v>1002.87</v>
      </c>
      <c r="Q62" s="2"/>
      <c r="R62" s="6">
        <f t="shared" si="44"/>
        <v>0</v>
      </c>
      <c r="S62" s="2"/>
      <c r="T62" s="7">
        <v>2680</v>
      </c>
      <c r="U62" s="2"/>
      <c r="V62" s="6">
        <f t="shared" si="45"/>
        <v>0</v>
      </c>
      <c r="W62" s="2"/>
      <c r="X62" s="7">
        <f t="shared" si="46"/>
        <v>-1677.13</v>
      </c>
      <c r="Y62" s="2"/>
      <c r="Z62" s="6">
        <f t="shared" si="47"/>
        <v>-0.62579477611940304</v>
      </c>
    </row>
    <row r="63" spans="1:26" s="24" customFormat="1" hidden="1" outlineLevel="2" x14ac:dyDescent="0.25">
      <c r="A63" s="27"/>
      <c r="B63" s="11" t="str">
        <f>CONCATENATE("          ", "6309", " - ", "TELEPHONE")</f>
        <v xml:space="preserve">          6309 - TELEPHONE</v>
      </c>
      <c r="C63" s="11"/>
      <c r="D63" s="7">
        <v>441.4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381.4</v>
      </c>
      <c r="M63" s="2"/>
      <c r="N63" s="6">
        <f t="shared" si="43"/>
        <v>6.3566666666666665</v>
      </c>
      <c r="O63" s="11"/>
      <c r="P63" s="7">
        <v>5230.2</v>
      </c>
      <c r="Q63" s="2"/>
      <c r="R63" s="6">
        <f t="shared" si="44"/>
        <v>0</v>
      </c>
      <c r="S63" s="2"/>
      <c r="T63" s="7">
        <v>480</v>
      </c>
      <c r="U63" s="2"/>
      <c r="V63" s="6">
        <f t="shared" si="45"/>
        <v>0</v>
      </c>
      <c r="W63" s="2"/>
      <c r="X63" s="7">
        <f t="shared" si="46"/>
        <v>4750.2</v>
      </c>
      <c r="Y63" s="2"/>
      <c r="Z63" s="6">
        <f t="shared" si="47"/>
        <v>9.8962500000000002</v>
      </c>
    </row>
    <row r="64" spans="1:26" s="28" customFormat="1" outlineLevel="1" collapsed="1" x14ac:dyDescent="0.25">
      <c r="A64" s="29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SUM(OSRRefD22_11x_0)</f>
        <v>0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0</v>
      </c>
      <c r="M64" s="1"/>
      <c r="N64" s="5">
        <f t="shared" ref="N64:N67" si="51">IF(H64=0,0,L64/H64)</f>
        <v>0</v>
      </c>
      <c r="O64" s="14"/>
      <c r="P64" s="1">
        <f>SUM(OSRRefP22_11x_0)</f>
        <v>99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99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7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0</v>
      </c>
      <c r="M65" s="2"/>
      <c r="N65" s="6">
        <f t="shared" si="51"/>
        <v>0</v>
      </c>
      <c r="O65" s="11"/>
      <c r="P65" s="7">
        <v>99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99</v>
      </c>
      <c r="Y65" s="2"/>
      <c r="Z65" s="6">
        <f t="shared" si="55"/>
        <v>0</v>
      </c>
    </row>
    <row r="66" spans="1:26" s="28" customFormat="1" outlineLevel="1" collapsed="1" x14ac:dyDescent="0.25">
      <c r="A66" s="29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4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5000</v>
      </c>
      <c r="U66" s="1"/>
      <c r="V66" s="5">
        <f t="shared" si="53"/>
        <v>0</v>
      </c>
      <c r="W66" s="1"/>
      <c r="X66" s="1">
        <f t="shared" si="54"/>
        <v>-5000</v>
      </c>
      <c r="Y66" s="1"/>
      <c r="Z66" s="5">
        <f t="shared" si="55"/>
        <v>-1</v>
      </c>
    </row>
    <row r="67" spans="1:26" s="24" customFormat="1" hidden="1" outlineLevel="2" x14ac:dyDescent="0.25">
      <c r="A67" s="27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5000</v>
      </c>
      <c r="U67" s="2"/>
      <c r="V67" s="6">
        <f t="shared" si="53"/>
        <v>0</v>
      </c>
      <c r="W67" s="2"/>
      <c r="X67" s="7">
        <f t="shared" si="54"/>
        <v>-5000</v>
      </c>
      <c r="Y67" s="2"/>
      <c r="Z67" s="6">
        <f t="shared" si="55"/>
        <v>-1</v>
      </c>
    </row>
    <row r="68" spans="1:26" s="58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6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19">
        <f>+D16-D18+D69</f>
        <v>-48909.27</v>
      </c>
      <c r="E71" s="13"/>
      <c r="F71" s="21">
        <f>IF(D$12=0,0,D71/D$12)</f>
        <v>0</v>
      </c>
      <c r="G71" s="13"/>
      <c r="H71" s="19">
        <f>+H16-H18+H69</f>
        <v>-51259.722846153818</v>
      </c>
      <c r="I71" s="13"/>
      <c r="J71" s="21">
        <f>IF(H$12=0,0,H71/H$12)</f>
        <v>0</v>
      </c>
      <c r="K71" s="15"/>
      <c r="L71" s="19">
        <f>+D71-H71</f>
        <v>2350.4528461538212</v>
      </c>
      <c r="M71" s="15"/>
      <c r="N71" s="21">
        <f>IF(H71=0,0,L71/H71)</f>
        <v>-4.5853795448880061E-2</v>
      </c>
      <c r="O71" s="26"/>
      <c r="P71" s="19">
        <f>+P16-P18+P69</f>
        <v>-406084.63999999996</v>
      </c>
      <c r="Q71" s="13"/>
      <c r="R71" s="21">
        <f>IF(P$12=0,0,P71/P$12)</f>
        <v>0</v>
      </c>
      <c r="S71" s="13"/>
      <c r="T71" s="19">
        <f>+T16-T18+T69</f>
        <v>-423323.21523076924</v>
      </c>
      <c r="U71" s="13"/>
      <c r="V71" s="21">
        <f>IF(T$12=0,0,T71/T$12)</f>
        <v>0</v>
      </c>
      <c r="W71" s="15"/>
      <c r="X71" s="19">
        <f>+P71-T71</f>
        <v>17238.575230769289</v>
      </c>
      <c r="Y71" s="15"/>
      <c r="Z71" s="21">
        <f>IF(T71=0,0,X71/T71)</f>
        <v>-4.0722017150351418E-2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-48909.27</v>
      </c>
      <c r="E75" s="13"/>
      <c r="F75" s="30">
        <f>IF(D$12=0,0,D75/D$12)</f>
        <v>0</v>
      </c>
      <c r="G75" s="13"/>
      <c r="H75" s="34">
        <f>+H71-H73</f>
        <v>-51259.722846153818</v>
      </c>
      <c r="I75" s="13"/>
      <c r="J75" s="30">
        <f>IF(H$12=0,0,H75/H$12)</f>
        <v>0</v>
      </c>
      <c r="K75" s="15"/>
      <c r="L75" s="34">
        <f>D75-H75</f>
        <v>2350.4528461538212</v>
      </c>
      <c r="M75" s="15"/>
      <c r="N75" s="30">
        <f>IF(H75=0,0,L75/H75)</f>
        <v>-4.5853795448880061E-2</v>
      </c>
      <c r="O75" s="26"/>
      <c r="P75" s="34">
        <f>+P71-P73</f>
        <v>-406084.63999999996</v>
      </c>
      <c r="Q75" s="13"/>
      <c r="R75" s="30">
        <f>IF(P$12=0,0,P75/P$12)</f>
        <v>0</v>
      </c>
      <c r="S75" s="13"/>
      <c r="T75" s="34">
        <f>+T71-T73</f>
        <v>-423323.21523076924</v>
      </c>
      <c r="U75" s="13"/>
      <c r="V75" s="30">
        <f>IF(T$12=0,0,T75/T$12)</f>
        <v>0</v>
      </c>
      <c r="W75" s="15"/>
      <c r="X75" s="34">
        <f>P75-T75</f>
        <v>17238.575230769289</v>
      </c>
      <c r="Y75" s="15"/>
      <c r="Z75" s="30">
        <f>IF(T75=0,0,X75/T75)</f>
        <v>-4.0722017150351418E-2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5">
        <f>SUM(D75:D77)</f>
        <v>-48909.27</v>
      </c>
      <c r="E78" s="13"/>
      <c r="F78" s="31">
        <f>IF(D$12=0,0,D78/D$12)</f>
        <v>0</v>
      </c>
      <c r="G78" s="13"/>
      <c r="H78" s="35">
        <f>SUM(H75:H77)</f>
        <v>-51259.722846153818</v>
      </c>
      <c r="I78" s="13"/>
      <c r="J78" s="31">
        <f>IF(H$12=0,0,H78/H$12)</f>
        <v>0</v>
      </c>
      <c r="K78" s="15"/>
      <c r="L78" s="35">
        <f>+D78-H78</f>
        <v>2350.4528461538212</v>
      </c>
      <c r="M78" s="15"/>
      <c r="N78" s="31">
        <f>IF(H78=0,0,L78/H78)</f>
        <v>-4.5853795448880061E-2</v>
      </c>
      <c r="O78" s="26"/>
      <c r="P78" s="35">
        <f>SUM(P75:P77)</f>
        <v>-406084.63999999996</v>
      </c>
      <c r="Q78" s="13"/>
      <c r="R78" s="31">
        <f>IF(P$12=0,0,P78/P$12)</f>
        <v>0</v>
      </c>
      <c r="S78" s="13"/>
      <c r="T78" s="35">
        <f>SUM(T75:T77)</f>
        <v>-423323.21523076924</v>
      </c>
      <c r="U78" s="13"/>
      <c r="V78" s="31">
        <f>IF(T$12=0,0,T78/T$12)</f>
        <v>0</v>
      </c>
      <c r="W78" s="15"/>
      <c r="X78" s="35">
        <f>+P78-T78</f>
        <v>17238.575230769289</v>
      </c>
      <c r="Y78" s="15"/>
      <c r="Z78" s="31">
        <f>IF(T78=0,0,X78/T78)</f>
        <v>-4.0722017150351418E-2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3">
        <v>44267.671633831022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 t="s">
        <v>314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6657.22</v>
      </c>
      <c r="E18" s="20"/>
      <c r="F18" s="33">
        <f t="shared" ref="F18:F28" si="0">IF(D$12=0,0,D18/D$12)</f>
        <v>0</v>
      </c>
      <c r="G18" s="20"/>
      <c r="H18" s="20">
        <f>SUM(OSRRefH22x_0)</f>
        <v>7140.2521538461542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-483.03215384615396</v>
      </c>
      <c r="M18" s="4"/>
      <c r="N18" s="33">
        <f t="shared" ref="N18:N28" si="3">IF(H18=0,0,L18/H18)</f>
        <v>-6.7649173087811029E-2</v>
      </c>
      <c r="O18" s="10"/>
      <c r="P18" s="20">
        <f>SUM(OSRRefP22x_0)</f>
        <v>62446.820000000007</v>
      </c>
      <c r="Q18" s="20"/>
      <c r="R18" s="33">
        <f t="shared" ref="R18:R28" si="4">IF(P$12=0,0,P18/P$12)</f>
        <v>0</v>
      </c>
      <c r="S18" s="20"/>
      <c r="T18" s="20">
        <f>SUM(OSRRefT22x_0)</f>
        <v>65994.456346153849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-3547.6363461538422</v>
      </c>
      <c r="Y18" s="4"/>
      <c r="Z18" s="33">
        <f t="shared" ref="Z18:Z28" si="7">IF(T18=0,0,X18/T18)</f>
        <v>-5.3756581121689899E-2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2490.0799999999995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664.82784615384526</v>
      </c>
      <c r="M19" s="1"/>
      <c r="N19" s="5">
        <f t="shared" si="3"/>
        <v>0.36423890515780311</v>
      </c>
      <c r="O19" s="14"/>
      <c r="P19" s="1">
        <f>SUM(OSRRefP22_0x_0)</f>
        <v>19909.09</v>
      </c>
      <c r="Q19" s="1"/>
      <c r="R19" s="5">
        <f t="shared" si="4"/>
        <v>0</v>
      </c>
      <c r="S19" s="1"/>
      <c r="T19" s="1">
        <f>SUM(OSRRefT22_0x_0)</f>
        <v>15970.956346153846</v>
      </c>
      <c r="U19" s="1"/>
      <c r="V19" s="5">
        <f t="shared" si="5"/>
        <v>0</v>
      </c>
      <c r="W19" s="1"/>
      <c r="X19" s="1">
        <f t="shared" si="6"/>
        <v>3938.1336538461546</v>
      </c>
      <c r="Y19" s="1"/>
      <c r="Z19" s="5">
        <f t="shared" si="7"/>
        <v>0.24658095410764447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322.3</v>
      </c>
      <c r="E20" s="2"/>
      <c r="F20" s="6">
        <f t="shared" si="0"/>
        <v>0</v>
      </c>
      <c r="G20" s="2"/>
      <c r="H20" s="7">
        <v>321.42599999999999</v>
      </c>
      <c r="I20" s="2"/>
      <c r="J20" s="6">
        <f t="shared" si="1"/>
        <v>0</v>
      </c>
      <c r="K20" s="2"/>
      <c r="L20" s="7">
        <f t="shared" si="2"/>
        <v>0.87400000000002365</v>
      </c>
      <c r="M20" s="2"/>
      <c r="N20" s="6">
        <f t="shared" si="3"/>
        <v>2.7191328641740981E-3</v>
      </c>
      <c r="O20" s="11"/>
      <c r="P20" s="7">
        <v>2704.06</v>
      </c>
      <c r="Q20" s="2"/>
      <c r="R20" s="6">
        <f t="shared" si="4"/>
        <v>0</v>
      </c>
      <c r="S20" s="2"/>
      <c r="T20" s="7">
        <v>2812.4775</v>
      </c>
      <c r="U20" s="2"/>
      <c r="V20" s="6">
        <f t="shared" si="5"/>
        <v>0</v>
      </c>
      <c r="W20" s="2"/>
      <c r="X20" s="7">
        <f t="shared" si="6"/>
        <v>-108.41750000000002</v>
      </c>
      <c r="Y20" s="2"/>
      <c r="Z20" s="6">
        <f t="shared" si="7"/>
        <v>-3.8548752834467126E-2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291.97000000000003</v>
      </c>
      <c r="E21" s="2"/>
      <c r="F21" s="6">
        <f t="shared" si="0"/>
        <v>0</v>
      </c>
      <c r="G21" s="2"/>
      <c r="H21" s="7">
        <v>291.06</v>
      </c>
      <c r="I21" s="2"/>
      <c r="J21" s="6">
        <f t="shared" si="1"/>
        <v>0</v>
      </c>
      <c r="K21" s="2"/>
      <c r="L21" s="7">
        <f t="shared" si="2"/>
        <v>0.91000000000002501</v>
      </c>
      <c r="M21" s="2"/>
      <c r="N21" s="6">
        <f t="shared" si="3"/>
        <v>3.1265031265032125E-3</v>
      </c>
      <c r="O21" s="11"/>
      <c r="P21" s="7">
        <v>2448.6999999999998</v>
      </c>
      <c r="Q21" s="2"/>
      <c r="R21" s="6">
        <f t="shared" si="4"/>
        <v>0</v>
      </c>
      <c r="S21" s="2"/>
      <c r="T21" s="7">
        <v>2546.7750000000001</v>
      </c>
      <c r="U21" s="2"/>
      <c r="V21" s="6">
        <f t="shared" si="5"/>
        <v>0</v>
      </c>
      <c r="W21" s="2"/>
      <c r="X21" s="7">
        <f t="shared" si="6"/>
        <v>-98.075000000000273</v>
      </c>
      <c r="Y21" s="2"/>
      <c r="Z21" s="6">
        <f t="shared" si="7"/>
        <v>-3.8509487489079432E-2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699.91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86.06384615384593</v>
      </c>
      <c r="M22" s="2"/>
      <c r="N22" s="6">
        <f t="shared" si="3"/>
        <v>0.14020426065162866</v>
      </c>
      <c r="O22" s="11"/>
      <c r="P22" s="7">
        <v>5576.78</v>
      </c>
      <c r="Q22" s="2"/>
      <c r="R22" s="6">
        <f t="shared" si="4"/>
        <v>0</v>
      </c>
      <c r="S22" s="2"/>
      <c r="T22" s="7">
        <v>5371.1538461538457</v>
      </c>
      <c r="U22" s="2"/>
      <c r="V22" s="6">
        <f t="shared" si="5"/>
        <v>0</v>
      </c>
      <c r="W22" s="2"/>
      <c r="X22" s="7">
        <f t="shared" si="6"/>
        <v>205.62615384615401</v>
      </c>
      <c r="Y22" s="2"/>
      <c r="Z22" s="6">
        <f t="shared" si="7"/>
        <v>3.8283422842821373E-2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10.95</v>
      </c>
      <c r="E23" s="2"/>
      <c r="F23" s="6">
        <f t="shared" si="0"/>
        <v>0</v>
      </c>
      <c r="G23" s="2"/>
      <c r="H23" s="7">
        <v>10.92</v>
      </c>
      <c r="I23" s="2"/>
      <c r="J23" s="6">
        <f t="shared" si="1"/>
        <v>0</v>
      </c>
      <c r="K23" s="2"/>
      <c r="L23" s="7">
        <f t="shared" si="2"/>
        <v>2.9999999999999361E-2</v>
      </c>
      <c r="M23" s="2"/>
      <c r="N23" s="6">
        <f t="shared" si="3"/>
        <v>2.7472527472526889E-3</v>
      </c>
      <c r="O23" s="11"/>
      <c r="P23" s="7">
        <v>91.88</v>
      </c>
      <c r="Q23" s="2"/>
      <c r="R23" s="6">
        <f t="shared" si="4"/>
        <v>0</v>
      </c>
      <c r="S23" s="2"/>
      <c r="T23" s="7">
        <v>95.55</v>
      </c>
      <c r="U23" s="2"/>
      <c r="V23" s="6">
        <f t="shared" si="5"/>
        <v>0</v>
      </c>
      <c r="W23" s="2"/>
      <c r="X23" s="7">
        <f t="shared" si="6"/>
        <v>-3.6700000000000017</v>
      </c>
      <c r="Y23" s="2"/>
      <c r="Z23" s="6">
        <f t="shared" si="7"/>
        <v>-3.8409209837781288E-2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4169.4399999999996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4169.4399999999996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420</v>
      </c>
      <c r="I26" s="2"/>
      <c r="J26" s="6">
        <f t="shared" si="1"/>
        <v>0</v>
      </c>
      <c r="K26" s="2"/>
      <c r="L26" s="7">
        <f t="shared" si="2"/>
        <v>-32.04000000000002</v>
      </c>
      <c r="M26" s="2"/>
      <c r="N26" s="6">
        <f t="shared" si="3"/>
        <v>-7.6285714285714332E-2</v>
      </c>
      <c r="O26" s="11"/>
      <c r="P26" s="7">
        <v>2197.8200000000002</v>
      </c>
      <c r="Q26" s="2"/>
      <c r="R26" s="6">
        <f t="shared" si="4"/>
        <v>0</v>
      </c>
      <c r="S26" s="2"/>
      <c r="T26" s="7">
        <v>3675</v>
      </c>
      <c r="U26" s="2"/>
      <c r="V26" s="6">
        <f t="shared" si="5"/>
        <v>0</v>
      </c>
      <c r="W26" s="2"/>
      <c r="X26" s="7">
        <f t="shared" si="6"/>
        <v>-1477.1799999999998</v>
      </c>
      <c r="Y26" s="2"/>
      <c r="Z26" s="6">
        <f t="shared" si="7"/>
        <v>-0.40195374149659857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168</v>
      </c>
      <c r="I27" s="2"/>
      <c r="J27" s="6">
        <f t="shared" si="1"/>
        <v>0</v>
      </c>
      <c r="K27" s="2"/>
      <c r="L27" s="7">
        <f t="shared" si="2"/>
        <v>25.72</v>
      </c>
      <c r="M27" s="2"/>
      <c r="N27" s="6">
        <f t="shared" si="3"/>
        <v>0.15309523809523809</v>
      </c>
      <c r="O27" s="11"/>
      <c r="P27" s="7">
        <v>1646.62</v>
      </c>
      <c r="Q27" s="2"/>
      <c r="R27" s="6">
        <f t="shared" si="4"/>
        <v>0</v>
      </c>
      <c r="S27" s="2"/>
      <c r="T27" s="7">
        <v>1470</v>
      </c>
      <c r="U27" s="2"/>
      <c r="V27" s="6">
        <f t="shared" si="5"/>
        <v>0</v>
      </c>
      <c r="W27" s="2"/>
      <c r="X27" s="7">
        <f t="shared" si="6"/>
        <v>176.61999999999989</v>
      </c>
      <c r="Y27" s="2"/>
      <c r="Z27" s="6">
        <f t="shared" si="7"/>
        <v>0.1201496598639455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120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120</v>
      </c>
      <c r="M28" s="2"/>
      <c r="N28" s="6">
        <f t="shared" si="3"/>
        <v>0</v>
      </c>
      <c r="O28" s="11"/>
      <c r="P28" s="7">
        <v>1073.79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1073.79</v>
      </c>
      <c r="Y28" s="2"/>
      <c r="Z28" s="6">
        <f t="shared" si="7"/>
        <v>0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3224.8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-513.19999999999982</v>
      </c>
      <c r="M29" s="1"/>
      <c r="N29" s="5">
        <f t="shared" ref="N29:N39" si="11">IF(H29=0,0,L29/H29)</f>
        <v>-0.1372926698769395</v>
      </c>
      <c r="O29" s="14"/>
      <c r="P29" s="1">
        <f>SUM(OSRRefP22_1x_0)</f>
        <v>33747.96</v>
      </c>
      <c r="Q29" s="1"/>
      <c r="R29" s="5">
        <f t="shared" ref="R29:R39" si="12">IF(P$12=0,0,P29/P$12)</f>
        <v>0</v>
      </c>
      <c r="S29" s="1"/>
      <c r="T29" s="1">
        <f>SUM(OSRRefT22_1x_0)</f>
        <v>32707.500000000004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1040.4599999999955</v>
      </c>
      <c r="Y29" s="1"/>
      <c r="Z29" s="5">
        <f t="shared" ref="Z29:Z39" si="15">IF(T29=0,0,X29/T29)</f>
        <v>3.1811052510891856E-2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3224.8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3224.8</v>
      </c>
      <c r="M31" s="2"/>
      <c r="N31" s="6">
        <f t="shared" si="11"/>
        <v>0</v>
      </c>
      <c r="O31" s="11"/>
      <c r="P31" s="7">
        <v>33747.96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33747.96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3738</v>
      </c>
      <c r="I33" s="2"/>
      <c r="J33" s="6">
        <f t="shared" si="9"/>
        <v>0</v>
      </c>
      <c r="K33" s="2"/>
      <c r="L33" s="7">
        <f t="shared" si="10"/>
        <v>-3738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32707.500000000004</v>
      </c>
      <c r="U33" s="2"/>
      <c r="V33" s="6">
        <f t="shared" si="13"/>
        <v>0</v>
      </c>
      <c r="W33" s="2"/>
      <c r="X33" s="7">
        <f t="shared" si="14"/>
        <v>-32707.500000000004</v>
      </c>
      <c r="Y33" s="2"/>
      <c r="Z33" s="6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-238.8</v>
      </c>
      <c r="Q40" s="1"/>
      <c r="R40" s="5">
        <f t="shared" ref="R40:R46" si="20">IF(P$12=0,0,P40/P$12)</f>
        <v>0</v>
      </c>
      <c r="S40" s="1"/>
      <c r="T40" s="1">
        <f>SUM(OSRRefT22_2x_0)</f>
        <v>-600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361.2</v>
      </c>
      <c r="Y40" s="1"/>
      <c r="Z40" s="5">
        <f t="shared" ref="Z40:Z46" si="23">IF(T40=0,0,X40/T40)</f>
        <v>-0.60199999999999998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-238.8</v>
      </c>
      <c r="Q41" s="2"/>
      <c r="R41" s="6">
        <f t="shared" si="20"/>
        <v>0</v>
      </c>
      <c r="S41" s="2"/>
      <c r="T41" s="7">
        <v>-600</v>
      </c>
      <c r="U41" s="2"/>
      <c r="V41" s="6">
        <f t="shared" si="21"/>
        <v>0</v>
      </c>
      <c r="W41" s="2"/>
      <c r="X41" s="7">
        <f t="shared" si="22"/>
        <v>361.2</v>
      </c>
      <c r="Y41" s="2"/>
      <c r="Z41" s="6">
        <f t="shared" si="23"/>
        <v>-0.60199999999999998</v>
      </c>
    </row>
    <row r="42" spans="1:26" s="28" customFormat="1" outlineLevel="1" collapsed="1" x14ac:dyDescent="0.25">
      <c r="A42" s="29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196.48</v>
      </c>
      <c r="Q42" s="1"/>
      <c r="R42" s="5">
        <f t="shared" si="20"/>
        <v>0</v>
      </c>
      <c r="S42" s="1"/>
      <c r="T42" s="1">
        <f>SUM(OSRRefT22_3x_0)</f>
        <v>216</v>
      </c>
      <c r="U42" s="1"/>
      <c r="V42" s="5">
        <f t="shared" si="21"/>
        <v>0</v>
      </c>
      <c r="W42" s="1"/>
      <c r="X42" s="1">
        <f t="shared" si="22"/>
        <v>-19.52000000000001</v>
      </c>
      <c r="Y42" s="1"/>
      <c r="Z42" s="5">
        <f t="shared" si="23"/>
        <v>-9.037037037037042E-2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196.48</v>
      </c>
      <c r="Q43" s="2"/>
      <c r="R43" s="6">
        <f t="shared" si="20"/>
        <v>0</v>
      </c>
      <c r="S43" s="2"/>
      <c r="T43" s="7">
        <v>216</v>
      </c>
      <c r="U43" s="2"/>
      <c r="V43" s="6">
        <f t="shared" si="21"/>
        <v>0</v>
      </c>
      <c r="W43" s="2"/>
      <c r="X43" s="7">
        <f t="shared" si="22"/>
        <v>-19.52000000000001</v>
      </c>
      <c r="Y43" s="2"/>
      <c r="Z43" s="6">
        <f t="shared" si="23"/>
        <v>-9.037037037037042E-2</v>
      </c>
    </row>
    <row r="44" spans="1:26" s="28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891.98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-608.02</v>
      </c>
      <c r="M44" s="1"/>
      <c r="N44" s="5">
        <f t="shared" si="19"/>
        <v>-0.40534666666666663</v>
      </c>
      <c r="O44" s="14"/>
      <c r="P44" s="1">
        <f>SUM(OSRRefP22_4x_0)</f>
        <v>8284.25</v>
      </c>
      <c r="Q44" s="1"/>
      <c r="R44" s="5">
        <f t="shared" si="20"/>
        <v>0</v>
      </c>
      <c r="S44" s="1"/>
      <c r="T44" s="1">
        <f>SUM(OSRRefT22_4x_0)</f>
        <v>12000</v>
      </c>
      <c r="U44" s="1"/>
      <c r="V44" s="5">
        <f t="shared" si="21"/>
        <v>0</v>
      </c>
      <c r="W44" s="1"/>
      <c r="X44" s="1">
        <f t="shared" si="22"/>
        <v>-3715.75</v>
      </c>
      <c r="Y44" s="1"/>
      <c r="Z44" s="5">
        <f t="shared" si="23"/>
        <v>-0.30964583333333334</v>
      </c>
    </row>
    <row r="45" spans="1:26" s="24" customFormat="1" hidden="1" outlineLevel="2" x14ac:dyDescent="0.25">
      <c r="A45" s="27"/>
      <c r="B45" s="11" t="str">
        <f>CONCATENATE("          ", "6373", " - ", "MAINTENANCE CONTRACTS")</f>
        <v xml:space="preserve">          6373 - MAINTENANCE CONTRACTS</v>
      </c>
      <c r="C45" s="11"/>
      <c r="D45" s="7">
        <v>891.98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-608.02</v>
      </c>
      <c r="M45" s="2"/>
      <c r="N45" s="6">
        <f t="shared" si="19"/>
        <v>-0.40534666666666663</v>
      </c>
      <c r="O45" s="11"/>
      <c r="P45" s="7">
        <v>6113.96</v>
      </c>
      <c r="Q45" s="2"/>
      <c r="R45" s="6">
        <f t="shared" si="20"/>
        <v>0</v>
      </c>
      <c r="S45" s="2"/>
      <c r="T45" s="7">
        <v>12000</v>
      </c>
      <c r="U45" s="2"/>
      <c r="V45" s="6">
        <f t="shared" si="21"/>
        <v>0</v>
      </c>
      <c r="W45" s="2"/>
      <c r="X45" s="7">
        <f t="shared" si="22"/>
        <v>-5886.04</v>
      </c>
      <c r="Y45" s="2"/>
      <c r="Z45" s="6">
        <f t="shared" si="23"/>
        <v>-0.49050333333333335</v>
      </c>
    </row>
    <row r="46" spans="1:26" s="24" customFormat="1" hidden="1" outlineLevel="2" x14ac:dyDescent="0.25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2170.29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2170.29</v>
      </c>
      <c r="Y46" s="2"/>
      <c r="Z46" s="6">
        <f t="shared" si="23"/>
        <v>0</v>
      </c>
    </row>
    <row r="47" spans="1:26" s="28" customFormat="1" outlineLevel="1" collapsed="1" x14ac:dyDescent="0.25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200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-200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7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200</v>
      </c>
      <c r="U48" s="2"/>
      <c r="V48" s="6">
        <f t="shared" si="29"/>
        <v>0</v>
      </c>
      <c r="W48" s="2"/>
      <c r="X48" s="7">
        <f t="shared" si="30"/>
        <v>-200</v>
      </c>
      <c r="Y48" s="2"/>
      <c r="Z48" s="6">
        <f t="shared" si="31"/>
        <v>-1</v>
      </c>
    </row>
    <row r="49" spans="1:26" s="28" customFormat="1" outlineLevel="1" collapsed="1" x14ac:dyDescent="0.25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2.8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2.8</v>
      </c>
      <c r="M49" s="1"/>
      <c r="N49" s="5">
        <f t="shared" si="27"/>
        <v>0</v>
      </c>
      <c r="O49" s="14"/>
      <c r="P49" s="1">
        <f>SUM(OSRRefP22_6x_0)</f>
        <v>84.84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-4915.16</v>
      </c>
      <c r="Y49" s="1"/>
      <c r="Z49" s="5">
        <f t="shared" si="31"/>
        <v>-0.98303200000000002</v>
      </c>
    </row>
    <row r="50" spans="1:26" s="24" customFormat="1" hidden="1" outlineLevel="2" x14ac:dyDescent="0.25">
      <c r="A50" s="27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66.12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66.12</v>
      </c>
      <c r="Y50" s="2"/>
      <c r="Z50" s="6">
        <f t="shared" si="31"/>
        <v>0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7">
        <v>2.8</v>
      </c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2.8</v>
      </c>
      <c r="M51" s="2"/>
      <c r="N51" s="6">
        <f t="shared" si="27"/>
        <v>0</v>
      </c>
      <c r="O51" s="11"/>
      <c r="P51" s="7">
        <v>18.72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18.72</v>
      </c>
      <c r="Y51" s="2"/>
      <c r="Z51" s="6">
        <f t="shared" si="31"/>
        <v>0</v>
      </c>
    </row>
    <row r="52" spans="1:26" s="24" customFormat="1" hidden="1" outlineLevel="2" x14ac:dyDescent="0.25">
      <c r="A52" s="27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25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23</v>
      </c>
      <c r="E53" s="1"/>
      <c r="F53" s="5">
        <f t="shared" ref="F53:F54" si="32">IF(D$12=0,0,D53/D$12)</f>
        <v>0</v>
      </c>
      <c r="G53" s="1"/>
      <c r="H53" s="1">
        <f>SUM(OSRRefH22_7x_0)</f>
        <v>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</v>
      </c>
      <c r="M53" s="1"/>
      <c r="N53" s="5">
        <f t="shared" ref="N53:N54" si="35">IF(H53=0,0,L53/H53)</f>
        <v>-0.08</v>
      </c>
      <c r="O53" s="14"/>
      <c r="P53" s="1">
        <f>SUM(OSRRefP22_7x_0)</f>
        <v>463</v>
      </c>
      <c r="Q53" s="1"/>
      <c r="R53" s="5">
        <f t="shared" ref="R53:R54" si="36">IF(P$12=0,0,P53/P$12)</f>
        <v>0</v>
      </c>
      <c r="S53" s="1"/>
      <c r="T53" s="1">
        <f>SUM(OSRRefT22_7x_0)</f>
        <v>500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-37</v>
      </c>
      <c r="Y53" s="1"/>
      <c r="Z53" s="5">
        <f t="shared" ref="Z53:Z54" si="39">IF(T53=0,0,X53/T53)</f>
        <v>-7.3999999999999996E-2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7">
        <v>23</v>
      </c>
      <c r="E54" s="2"/>
      <c r="F54" s="6">
        <f t="shared" si="32"/>
        <v>0</v>
      </c>
      <c r="G54" s="2"/>
      <c r="H54" s="7">
        <v>25</v>
      </c>
      <c r="I54" s="2"/>
      <c r="J54" s="6">
        <f t="shared" si="33"/>
        <v>0</v>
      </c>
      <c r="K54" s="2"/>
      <c r="L54" s="7">
        <f t="shared" si="34"/>
        <v>-2</v>
      </c>
      <c r="M54" s="2"/>
      <c r="N54" s="6">
        <f t="shared" si="35"/>
        <v>-0.08</v>
      </c>
      <c r="O54" s="11"/>
      <c r="P54" s="7">
        <v>463</v>
      </c>
      <c r="Q54" s="2"/>
      <c r="R54" s="6">
        <f t="shared" si="36"/>
        <v>0</v>
      </c>
      <c r="S54" s="2"/>
      <c r="T54" s="7">
        <v>500</v>
      </c>
      <c r="U54" s="2"/>
      <c r="V54" s="6">
        <f t="shared" si="37"/>
        <v>0</v>
      </c>
      <c r="W54" s="2"/>
      <c r="X54" s="7">
        <f t="shared" si="38"/>
        <v>-37</v>
      </c>
      <c r="Y54" s="2"/>
      <c r="Z54" s="6">
        <f t="shared" si="39"/>
        <v>-7.3999999999999996E-2</v>
      </c>
    </row>
    <row r="55" spans="1:26" s="58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19">
        <f>+D16-D18+D56</f>
        <v>-6657.22</v>
      </c>
      <c r="E58" s="13"/>
      <c r="F58" s="21">
        <f>IF(D$12=0,0,D58/D$12)</f>
        <v>0</v>
      </c>
      <c r="G58" s="13"/>
      <c r="H58" s="19">
        <f>+H16-H18+H56</f>
        <v>-7140.2521538461542</v>
      </c>
      <c r="I58" s="13"/>
      <c r="J58" s="21">
        <f>IF(H$12=0,0,H58/H$12)</f>
        <v>0</v>
      </c>
      <c r="K58" s="15"/>
      <c r="L58" s="19">
        <f>+D58-H58</f>
        <v>483.03215384615396</v>
      </c>
      <c r="M58" s="15"/>
      <c r="N58" s="21">
        <f>IF(H58=0,0,L58/H58)</f>
        <v>-6.7649173087811029E-2</v>
      </c>
      <c r="O58" s="26"/>
      <c r="P58" s="19">
        <f>+P16-P18+P56</f>
        <v>-62446.820000000007</v>
      </c>
      <c r="Q58" s="13"/>
      <c r="R58" s="21">
        <f>IF(P$12=0,0,P58/P$12)</f>
        <v>0</v>
      </c>
      <c r="S58" s="13"/>
      <c r="T58" s="19">
        <f>+T16-T18+T56</f>
        <v>-65994.456346153849</v>
      </c>
      <c r="U58" s="13"/>
      <c r="V58" s="21">
        <f>IF(T$12=0,0,T58/T$12)</f>
        <v>0</v>
      </c>
      <c r="W58" s="15"/>
      <c r="X58" s="19">
        <f>+P58-T58</f>
        <v>3547.6363461538422</v>
      </c>
      <c r="Y58" s="15"/>
      <c r="Z58" s="21">
        <f>IF(T58=0,0,X58/T58)</f>
        <v>-5.3756581121689899E-2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4">
        <f>+D58-D60</f>
        <v>-6657.22</v>
      </c>
      <c r="E62" s="13"/>
      <c r="F62" s="30">
        <f>IF(D$12=0,0,D62/D$12)</f>
        <v>0</v>
      </c>
      <c r="G62" s="13"/>
      <c r="H62" s="34">
        <f>+H58-H60</f>
        <v>-7140.2521538461542</v>
      </c>
      <c r="I62" s="13"/>
      <c r="J62" s="30">
        <f>IF(H$12=0,0,H62/H$12)</f>
        <v>0</v>
      </c>
      <c r="K62" s="15"/>
      <c r="L62" s="34">
        <f>D62-H62</f>
        <v>483.03215384615396</v>
      </c>
      <c r="M62" s="15"/>
      <c r="N62" s="30">
        <f>IF(H62=0,0,L62/H62)</f>
        <v>-6.7649173087811029E-2</v>
      </c>
      <c r="O62" s="26"/>
      <c r="P62" s="34">
        <f>+P58-P60</f>
        <v>-62446.820000000007</v>
      </c>
      <c r="Q62" s="13"/>
      <c r="R62" s="30">
        <f>IF(P$12=0,0,P62/P$12)</f>
        <v>0</v>
      </c>
      <c r="S62" s="13"/>
      <c r="T62" s="34">
        <f>+T58-T60</f>
        <v>-65994.456346153849</v>
      </c>
      <c r="U62" s="13"/>
      <c r="V62" s="30">
        <f>IF(T$12=0,0,T62/T$12)</f>
        <v>0</v>
      </c>
      <c r="W62" s="15"/>
      <c r="X62" s="34">
        <f>P62-T62</f>
        <v>3547.6363461538422</v>
      </c>
      <c r="Y62" s="15"/>
      <c r="Z62" s="30">
        <f>IF(T62=0,0,X62/T62)</f>
        <v>-5.3756581121689899E-2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5">
        <f>SUM(D62:D64)</f>
        <v>-6657.22</v>
      </c>
      <c r="E65" s="13"/>
      <c r="F65" s="31">
        <f>IF(D$12=0,0,D65/D$12)</f>
        <v>0</v>
      </c>
      <c r="G65" s="13"/>
      <c r="H65" s="35">
        <f>SUM(H62:H64)</f>
        <v>-7140.2521538461542</v>
      </c>
      <c r="I65" s="13"/>
      <c r="J65" s="31">
        <f>IF(H$12=0,0,H65/H$12)</f>
        <v>0</v>
      </c>
      <c r="K65" s="15"/>
      <c r="L65" s="35">
        <f>+D65-H65</f>
        <v>483.03215384615396</v>
      </c>
      <c r="M65" s="15"/>
      <c r="N65" s="31">
        <f>IF(H65=0,0,L65/H65)</f>
        <v>-6.7649173087811029E-2</v>
      </c>
      <c r="O65" s="26"/>
      <c r="P65" s="35">
        <f>SUM(P62:P64)</f>
        <v>-62446.820000000007</v>
      </c>
      <c r="Q65" s="13"/>
      <c r="R65" s="31">
        <f>IF(P$12=0,0,P65/P$12)</f>
        <v>0</v>
      </c>
      <c r="S65" s="13"/>
      <c r="T65" s="35">
        <f>SUM(T62:T64)</f>
        <v>-65994.456346153849</v>
      </c>
      <c r="U65" s="13"/>
      <c r="V65" s="31">
        <f>IF(T$12=0,0,T65/T$12)</f>
        <v>0</v>
      </c>
      <c r="W65" s="15"/>
      <c r="X65" s="35">
        <f>+P65-T65</f>
        <v>3547.6363461538422</v>
      </c>
      <c r="Y65" s="15"/>
      <c r="Z65" s="31">
        <f>IF(T65=0,0,X65/T65)</f>
        <v>-5.3756581121689899E-2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3">
        <v>44267.671646759256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62" t="s">
        <v>314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7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8181.4500000000007</v>
      </c>
      <c r="E18" s="20"/>
      <c r="F18" s="33">
        <f t="shared" ref="F18:F28" si="0">IF(D$12=0,0,D18/D$12)</f>
        <v>0</v>
      </c>
      <c r="G18" s="20"/>
      <c r="H18" s="20">
        <f>SUM(OSRRefH22x_0)</f>
        <v>17120.590153846155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-8939.1401538461541</v>
      </c>
      <c r="M18" s="4"/>
      <c r="N18" s="33">
        <f t="shared" ref="N18:N28" si="3">IF(H18=0,0,L18/H18)</f>
        <v>-0.52212803843318267</v>
      </c>
      <c r="O18" s="10"/>
      <c r="P18" s="20">
        <f>SUM(OSRRefP22x_0)</f>
        <v>70827.299999999988</v>
      </c>
      <c r="Q18" s="20"/>
      <c r="R18" s="33">
        <f t="shared" ref="R18:R28" si="4">IF(P$12=0,0,P18/P$12)</f>
        <v>0</v>
      </c>
      <c r="S18" s="20"/>
      <c r="T18" s="20">
        <f>SUM(OSRRefT22x_0)</f>
        <v>149702.79484615385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-78875.494846153859</v>
      </c>
      <c r="Y18" s="4"/>
      <c r="Z18" s="33">
        <f t="shared" ref="Z18:Z28" si="7">IF(T18=0,0,X18/T18)</f>
        <v>-0.52688057645959385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2006.0500000000002</v>
      </c>
      <c r="E19" s="1"/>
      <c r="F19" s="5">
        <f t="shared" si="0"/>
        <v>0</v>
      </c>
      <c r="G19" s="1"/>
      <c r="H19" s="1">
        <f>SUM(OSRRefH22_0x_0)</f>
        <v>1611.590153846154</v>
      </c>
      <c r="I19" s="1"/>
      <c r="J19" s="5">
        <f t="shared" si="1"/>
        <v>0</v>
      </c>
      <c r="K19" s="1"/>
      <c r="L19" s="1">
        <f t="shared" si="2"/>
        <v>394.45984615384623</v>
      </c>
      <c r="M19" s="1"/>
      <c r="N19" s="5">
        <f t="shared" si="3"/>
        <v>0.24476436841739493</v>
      </c>
      <c r="O19" s="14"/>
      <c r="P19" s="1">
        <f>SUM(OSRRefP22_0x_0)</f>
        <v>13521.12</v>
      </c>
      <c r="Q19" s="1"/>
      <c r="R19" s="5">
        <f t="shared" si="4"/>
        <v>0</v>
      </c>
      <c r="S19" s="1"/>
      <c r="T19" s="1">
        <f>SUM(OSRRefT22_0x_0)</f>
        <v>14176.794846153845</v>
      </c>
      <c r="U19" s="1"/>
      <c r="V19" s="5">
        <f t="shared" si="5"/>
        <v>0</v>
      </c>
      <c r="W19" s="1"/>
      <c r="X19" s="1">
        <f t="shared" si="6"/>
        <v>-655.67484615384456</v>
      </c>
      <c r="Y19" s="1"/>
      <c r="Z19" s="5">
        <f t="shared" si="7"/>
        <v>-4.6249864886189609E-2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399.03</v>
      </c>
      <c r="E20" s="2"/>
      <c r="F20" s="6">
        <f t="shared" si="0"/>
        <v>0</v>
      </c>
      <c r="G20" s="2"/>
      <c r="H20" s="7">
        <v>367.34399999999999</v>
      </c>
      <c r="I20" s="2"/>
      <c r="J20" s="6">
        <f t="shared" si="1"/>
        <v>0</v>
      </c>
      <c r="K20" s="2"/>
      <c r="L20" s="7">
        <f t="shared" si="2"/>
        <v>31.685999999999979</v>
      </c>
      <c r="M20" s="2"/>
      <c r="N20" s="6">
        <f t="shared" si="3"/>
        <v>8.625702338952039E-2</v>
      </c>
      <c r="O20" s="11"/>
      <c r="P20" s="7">
        <v>3203.12</v>
      </c>
      <c r="Q20" s="2"/>
      <c r="R20" s="6">
        <f t="shared" si="4"/>
        <v>0</v>
      </c>
      <c r="S20" s="2"/>
      <c r="T20" s="7">
        <v>3420.8910000000001</v>
      </c>
      <c r="U20" s="2"/>
      <c r="V20" s="6">
        <f t="shared" si="5"/>
        <v>0</v>
      </c>
      <c r="W20" s="2"/>
      <c r="X20" s="7">
        <f t="shared" si="6"/>
        <v>-217.77100000000019</v>
      </c>
      <c r="Y20" s="2"/>
      <c r="Z20" s="6">
        <f t="shared" si="7"/>
        <v>-6.3659146111349402E-2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19.989999999999998</v>
      </c>
      <c r="E21" s="2"/>
      <c r="F21" s="6">
        <f t="shared" si="0"/>
        <v>0</v>
      </c>
      <c r="G21" s="2"/>
      <c r="H21" s="7">
        <v>19.8</v>
      </c>
      <c r="I21" s="2"/>
      <c r="J21" s="6">
        <f t="shared" si="1"/>
        <v>0</v>
      </c>
      <c r="K21" s="2"/>
      <c r="L21" s="7">
        <f t="shared" si="2"/>
        <v>0.18999999999999773</v>
      </c>
      <c r="M21" s="2"/>
      <c r="N21" s="6">
        <f t="shared" si="3"/>
        <v>9.5959595959594808E-3</v>
      </c>
      <c r="O21" s="11"/>
      <c r="P21" s="7">
        <v>169.27</v>
      </c>
      <c r="Q21" s="2"/>
      <c r="R21" s="6">
        <f t="shared" si="4"/>
        <v>0</v>
      </c>
      <c r="S21" s="2"/>
      <c r="T21" s="7">
        <v>173.25</v>
      </c>
      <c r="U21" s="2"/>
      <c r="V21" s="6">
        <f t="shared" si="5"/>
        <v>0</v>
      </c>
      <c r="W21" s="2"/>
      <c r="X21" s="7">
        <f t="shared" si="6"/>
        <v>-3.9799999999999898</v>
      </c>
      <c r="Y21" s="2"/>
      <c r="Z21" s="6">
        <f t="shared" si="7"/>
        <v>-2.2972582972582912E-2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704.62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90.773846153845966</v>
      </c>
      <c r="M22" s="2"/>
      <c r="N22" s="6">
        <f t="shared" si="3"/>
        <v>0.1478771929824558</v>
      </c>
      <c r="O22" s="11"/>
      <c r="P22" s="7">
        <v>5614.46</v>
      </c>
      <c r="Q22" s="2"/>
      <c r="R22" s="6">
        <f t="shared" si="4"/>
        <v>0</v>
      </c>
      <c r="S22" s="2"/>
      <c r="T22" s="7">
        <v>5371.1538461538457</v>
      </c>
      <c r="U22" s="2"/>
      <c r="V22" s="6">
        <f t="shared" si="5"/>
        <v>0</v>
      </c>
      <c r="W22" s="2"/>
      <c r="X22" s="7">
        <f t="shared" si="6"/>
        <v>243.3061538461543</v>
      </c>
      <c r="Y22" s="2"/>
      <c r="Z22" s="6">
        <f t="shared" si="7"/>
        <v>4.5298675259577606E-2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15.75</v>
      </c>
      <c r="E23" s="2"/>
      <c r="F23" s="6">
        <f t="shared" si="0"/>
        <v>0</v>
      </c>
      <c r="G23" s="2"/>
      <c r="H23" s="7">
        <v>15.6</v>
      </c>
      <c r="I23" s="2"/>
      <c r="J23" s="6">
        <f t="shared" si="1"/>
        <v>0</v>
      </c>
      <c r="K23" s="2"/>
      <c r="L23" s="7">
        <f t="shared" si="2"/>
        <v>0.15000000000000036</v>
      </c>
      <c r="M23" s="2"/>
      <c r="N23" s="6">
        <f t="shared" si="3"/>
        <v>9.6153846153846385E-3</v>
      </c>
      <c r="O23" s="11"/>
      <c r="P23" s="7">
        <v>133.37</v>
      </c>
      <c r="Q23" s="2"/>
      <c r="R23" s="6">
        <f t="shared" si="4"/>
        <v>0</v>
      </c>
      <c r="S23" s="2"/>
      <c r="T23" s="7">
        <v>136.5</v>
      </c>
      <c r="U23" s="2"/>
      <c r="V23" s="6">
        <f t="shared" si="5"/>
        <v>0</v>
      </c>
      <c r="W23" s="2"/>
      <c r="X23" s="7">
        <f t="shared" si="6"/>
        <v>-3.1299999999999955</v>
      </c>
      <c r="Y23" s="2"/>
      <c r="Z23" s="6">
        <f t="shared" si="7"/>
        <v>-2.2930402930402896E-2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368.66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368.66</v>
      </c>
      <c r="M24" s="2"/>
      <c r="N24" s="6">
        <f t="shared" si="3"/>
        <v>0</v>
      </c>
      <c r="O24" s="11"/>
      <c r="P24" s="7">
        <v>810.5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810.5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276.60000000000002</v>
      </c>
      <c r="E26" s="2"/>
      <c r="F26" s="6">
        <f t="shared" si="0"/>
        <v>0</v>
      </c>
      <c r="G26" s="2"/>
      <c r="H26" s="7">
        <v>240</v>
      </c>
      <c r="I26" s="2"/>
      <c r="J26" s="6">
        <f t="shared" si="1"/>
        <v>0</v>
      </c>
      <c r="K26" s="2"/>
      <c r="L26" s="7">
        <f t="shared" si="2"/>
        <v>36.600000000000023</v>
      </c>
      <c r="M26" s="2"/>
      <c r="N26" s="6">
        <f t="shared" si="3"/>
        <v>0.15250000000000011</v>
      </c>
      <c r="O26" s="11"/>
      <c r="P26" s="7">
        <v>1708.5</v>
      </c>
      <c r="Q26" s="2"/>
      <c r="R26" s="6">
        <f t="shared" si="4"/>
        <v>0</v>
      </c>
      <c r="S26" s="2"/>
      <c r="T26" s="7">
        <v>2100</v>
      </c>
      <c r="U26" s="2"/>
      <c r="V26" s="6">
        <f t="shared" si="5"/>
        <v>0</v>
      </c>
      <c r="W26" s="2"/>
      <c r="X26" s="7">
        <f t="shared" si="6"/>
        <v>-391.5</v>
      </c>
      <c r="Y26" s="2"/>
      <c r="Z26" s="6">
        <f t="shared" si="7"/>
        <v>-0.18642857142857142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180</v>
      </c>
      <c r="I27" s="2"/>
      <c r="J27" s="6">
        <f t="shared" si="1"/>
        <v>0</v>
      </c>
      <c r="K27" s="2"/>
      <c r="L27" s="7">
        <f t="shared" si="2"/>
        <v>41.400000000000006</v>
      </c>
      <c r="M27" s="2"/>
      <c r="N27" s="6">
        <f t="shared" si="3"/>
        <v>0.23000000000000004</v>
      </c>
      <c r="O27" s="11"/>
      <c r="P27" s="7">
        <v>1881.9</v>
      </c>
      <c r="Q27" s="2"/>
      <c r="R27" s="6">
        <f t="shared" si="4"/>
        <v>0</v>
      </c>
      <c r="S27" s="2"/>
      <c r="T27" s="7">
        <v>1575</v>
      </c>
      <c r="U27" s="2"/>
      <c r="V27" s="6">
        <f t="shared" si="5"/>
        <v>0</v>
      </c>
      <c r="W27" s="2"/>
      <c r="X27" s="7">
        <f t="shared" si="6"/>
        <v>306.90000000000009</v>
      </c>
      <c r="Y27" s="2"/>
      <c r="Z27" s="6">
        <f t="shared" si="7"/>
        <v>0.19485714285714292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1400</v>
      </c>
      <c r="U28" s="2"/>
      <c r="V28" s="6">
        <f t="shared" si="5"/>
        <v>0</v>
      </c>
      <c r="W28" s="2"/>
      <c r="X28" s="7">
        <f t="shared" si="6"/>
        <v>-1400</v>
      </c>
      <c r="Y28" s="2"/>
      <c r="Z28" s="6">
        <f t="shared" si="7"/>
        <v>-1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5792.93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116.93000000000029</v>
      </c>
      <c r="M29" s="1"/>
      <c r="N29" s="5">
        <f t="shared" ref="N29:N39" si="11">IF(H29=0,0,L29/H29)</f>
        <v>2.06007751937985E-2</v>
      </c>
      <c r="O29" s="14"/>
      <c r="P29" s="1">
        <f>SUM(OSRRefP22_1x_0)</f>
        <v>53769.409999999996</v>
      </c>
      <c r="Q29" s="1"/>
      <c r="R29" s="5">
        <f t="shared" ref="R29:R39" si="12">IF(P$12=0,0,P29/P$12)</f>
        <v>0</v>
      </c>
      <c r="S29" s="1"/>
      <c r="T29" s="1">
        <f>SUM(OSRRefT22_1x_0)</f>
        <v>49665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4104.4099999999962</v>
      </c>
      <c r="Y29" s="1"/>
      <c r="Z29" s="5">
        <f t="shared" ref="Z29:Z39" si="15">IF(T29=0,0,X29/T29)</f>
        <v>8.2641900734923918E-2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>
        <v>5475</v>
      </c>
      <c r="E33" s="2"/>
      <c r="F33" s="6">
        <f t="shared" si="8"/>
        <v>0</v>
      </c>
      <c r="G33" s="2"/>
      <c r="H33" s="7">
        <v>4512</v>
      </c>
      <c r="I33" s="2"/>
      <c r="J33" s="6">
        <f t="shared" si="9"/>
        <v>0</v>
      </c>
      <c r="K33" s="2"/>
      <c r="L33" s="7">
        <f t="shared" si="10"/>
        <v>963</v>
      </c>
      <c r="M33" s="2"/>
      <c r="N33" s="6">
        <f t="shared" si="11"/>
        <v>0.21343085106382978</v>
      </c>
      <c r="O33" s="11"/>
      <c r="P33" s="7">
        <v>42080.1</v>
      </c>
      <c r="Q33" s="2"/>
      <c r="R33" s="6">
        <f t="shared" si="12"/>
        <v>0</v>
      </c>
      <c r="S33" s="2"/>
      <c r="T33" s="7">
        <v>39480</v>
      </c>
      <c r="U33" s="2"/>
      <c r="V33" s="6">
        <f t="shared" si="13"/>
        <v>0</v>
      </c>
      <c r="W33" s="2"/>
      <c r="X33" s="7">
        <f t="shared" si="14"/>
        <v>2600.0999999999985</v>
      </c>
      <c r="Y33" s="2"/>
      <c r="Z33" s="6">
        <f t="shared" si="15"/>
        <v>6.5858662613981725E-2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>
        <v>-838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-838</v>
      </c>
      <c r="M36" s="2"/>
      <c r="N36" s="6">
        <f t="shared" si="11"/>
        <v>0</v>
      </c>
      <c r="O36" s="11"/>
      <c r="P36" s="7">
        <v>938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-1681</v>
      </c>
      <c r="Y36" s="2"/>
      <c r="Z36" s="6">
        <f t="shared" si="15"/>
        <v>-0.64184803360061093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>
        <v>1155.93</v>
      </c>
      <c r="E37" s="2"/>
      <c r="F37" s="6">
        <f t="shared" si="8"/>
        <v>0</v>
      </c>
      <c r="G37" s="2"/>
      <c r="H37" s="7">
        <v>1164</v>
      </c>
      <c r="I37" s="2"/>
      <c r="J37" s="6">
        <f t="shared" si="9"/>
        <v>0</v>
      </c>
      <c r="K37" s="2"/>
      <c r="L37" s="7">
        <f t="shared" si="10"/>
        <v>-8.0699999999999363</v>
      </c>
      <c r="M37" s="2"/>
      <c r="N37" s="6">
        <f t="shared" si="11"/>
        <v>-6.932989690721595E-3</v>
      </c>
      <c r="O37" s="11"/>
      <c r="P37" s="7">
        <v>10751.31</v>
      </c>
      <c r="Q37" s="2"/>
      <c r="R37" s="6">
        <f t="shared" si="12"/>
        <v>0</v>
      </c>
      <c r="S37" s="2"/>
      <c r="T37" s="7">
        <v>7566</v>
      </c>
      <c r="U37" s="2"/>
      <c r="V37" s="6">
        <f t="shared" si="13"/>
        <v>0</v>
      </c>
      <c r="W37" s="2"/>
      <c r="X37" s="7">
        <f t="shared" si="14"/>
        <v>3185.3099999999995</v>
      </c>
      <c r="Y37" s="2"/>
      <c r="Z37" s="6">
        <f t="shared" si="15"/>
        <v>0.42100317208564625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346.42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-7986.58</v>
      </c>
      <c r="M40" s="1"/>
      <c r="N40" s="5">
        <f t="shared" ref="N40:N54" si="19">IF(H40=0,0,L40/H40)</f>
        <v>-0.95842793711748464</v>
      </c>
      <c r="O40" s="14"/>
      <c r="P40" s="1">
        <f>SUM(OSRRefP22_2x_0)</f>
        <v>1385.68</v>
      </c>
      <c r="Q40" s="1"/>
      <c r="R40" s="5">
        <f t="shared" ref="R40:R54" si="20">IF(P$12=0,0,P40/P$12)</f>
        <v>0</v>
      </c>
      <c r="S40" s="1"/>
      <c r="T40" s="1">
        <f>SUM(OSRRefT22_2x_0)</f>
        <v>66664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-65278.32</v>
      </c>
      <c r="Y40" s="1"/>
      <c r="Z40" s="5">
        <f t="shared" ref="Z40:Z54" si="23">IF(T40=0,0,X40/T40)</f>
        <v>-0.97921396855874232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346.42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-7986.58</v>
      </c>
      <c r="M41" s="2"/>
      <c r="N41" s="6">
        <f t="shared" si="19"/>
        <v>-0.95842793711748464</v>
      </c>
      <c r="O41" s="11"/>
      <c r="P41" s="7">
        <v>1385.68</v>
      </c>
      <c r="Q41" s="2"/>
      <c r="R41" s="6">
        <f t="shared" si="20"/>
        <v>0</v>
      </c>
      <c r="S41" s="2"/>
      <c r="T41" s="7">
        <v>66664</v>
      </c>
      <c r="U41" s="2"/>
      <c r="V41" s="6">
        <f t="shared" si="21"/>
        <v>0</v>
      </c>
      <c r="W41" s="2"/>
      <c r="X41" s="7">
        <f t="shared" si="22"/>
        <v>-65278.32</v>
      </c>
      <c r="Y41" s="2"/>
      <c r="Z41" s="6">
        <f t="shared" si="23"/>
        <v>-0.97921396855874232</v>
      </c>
    </row>
    <row r="42" spans="1:26" s="28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0.05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0.05</v>
      </c>
      <c r="M42" s="1"/>
      <c r="N42" s="5">
        <f t="shared" si="19"/>
        <v>0</v>
      </c>
      <c r="O42" s="14"/>
      <c r="P42" s="1">
        <f>SUM(OSRRefP22_3x_0)</f>
        <v>1898.94</v>
      </c>
      <c r="Q42" s="1"/>
      <c r="R42" s="5">
        <f t="shared" si="20"/>
        <v>0</v>
      </c>
      <c r="S42" s="1"/>
      <c r="T42" s="1">
        <f>SUM(OSRRefT22_3x_0)</f>
        <v>1897</v>
      </c>
      <c r="U42" s="1"/>
      <c r="V42" s="5">
        <f t="shared" si="21"/>
        <v>0</v>
      </c>
      <c r="W42" s="1"/>
      <c r="X42" s="1">
        <f t="shared" si="22"/>
        <v>1.9400000000000546</v>
      </c>
      <c r="Y42" s="1"/>
      <c r="Z42" s="5">
        <f t="shared" si="23"/>
        <v>1.022667369530867E-3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0.05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0.05</v>
      </c>
      <c r="M43" s="2"/>
      <c r="N43" s="6">
        <f t="shared" si="19"/>
        <v>0</v>
      </c>
      <c r="O43" s="11"/>
      <c r="P43" s="7">
        <v>1898.94</v>
      </c>
      <c r="Q43" s="2"/>
      <c r="R43" s="6">
        <f t="shared" si="20"/>
        <v>0</v>
      </c>
      <c r="S43" s="2"/>
      <c r="T43" s="7">
        <v>1897</v>
      </c>
      <c r="U43" s="2"/>
      <c r="V43" s="6">
        <f t="shared" si="21"/>
        <v>0</v>
      </c>
      <c r="W43" s="2"/>
      <c r="X43" s="7">
        <f t="shared" si="22"/>
        <v>1.9400000000000546</v>
      </c>
      <c r="Y43" s="2"/>
      <c r="Z43" s="6">
        <f t="shared" si="23"/>
        <v>1.022667369530867E-3</v>
      </c>
    </row>
    <row r="44" spans="1:26" s="28" customFormat="1" outlineLevel="1" collapsed="1" x14ac:dyDescent="0.25">
      <c r="A44" s="29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8" customFormat="1" outlineLevel="1" collapsed="1" x14ac:dyDescent="0.25">
      <c r="A46" s="29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5336</v>
      </c>
      <c r="U46" s="1"/>
      <c r="V46" s="5">
        <f t="shared" si="21"/>
        <v>0</v>
      </c>
      <c r="W46" s="1"/>
      <c r="X46" s="1">
        <f t="shared" si="22"/>
        <v>-5336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5336</v>
      </c>
      <c r="U47" s="2"/>
      <c r="V47" s="6">
        <f t="shared" si="21"/>
        <v>0</v>
      </c>
      <c r="W47" s="2"/>
      <c r="X47" s="7">
        <f t="shared" si="22"/>
        <v>-5336</v>
      </c>
      <c r="Y47" s="2"/>
      <c r="Z47" s="6">
        <f t="shared" si="23"/>
        <v>-1</v>
      </c>
    </row>
    <row r="48" spans="1:26" s="28" customFormat="1" outlineLevel="1" collapsed="1" x14ac:dyDescent="0.25">
      <c r="A48" s="29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8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6664</v>
      </c>
      <c r="U50" s="1"/>
      <c r="V50" s="5">
        <f t="shared" si="21"/>
        <v>0</v>
      </c>
      <c r="W50" s="1"/>
      <c r="X50" s="1">
        <f t="shared" si="22"/>
        <v>-6664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6664</v>
      </c>
      <c r="U51" s="2"/>
      <c r="V51" s="6">
        <f t="shared" si="21"/>
        <v>0</v>
      </c>
      <c r="W51" s="2"/>
      <c r="X51" s="7">
        <f t="shared" si="22"/>
        <v>-6664</v>
      </c>
      <c r="Y51" s="2"/>
      <c r="Z51" s="6">
        <f t="shared" si="23"/>
        <v>-1</v>
      </c>
    </row>
    <row r="52" spans="1:26" s="28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4"/>
      <c r="P52" s="1">
        <f>SUM(OSRRefP22_8x_0)</f>
        <v>252.15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-1547.85</v>
      </c>
      <c r="Y52" s="1"/>
      <c r="Z52" s="5">
        <f t="shared" si="23"/>
        <v>-0.85991666666666666</v>
      </c>
    </row>
    <row r="53" spans="1:26" s="24" customFormat="1" hidden="1" outlineLevel="2" x14ac:dyDescent="0.25">
      <c r="A53" s="27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252.15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252.15</v>
      </c>
      <c r="Y54" s="2"/>
      <c r="Z54" s="6">
        <f t="shared" si="23"/>
        <v>0</v>
      </c>
    </row>
    <row r="55" spans="1:26" s="28" customFormat="1" outlineLevel="1" collapsed="1" x14ac:dyDescent="0.25">
      <c r="A55" s="29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7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58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5" t="s">
        <v>3</v>
      </c>
      <c r="C60" s="25"/>
      <c r="D60" s="19">
        <f>+D16-D18+D58</f>
        <v>-8181.4500000000007</v>
      </c>
      <c r="E60" s="13"/>
      <c r="F60" s="21">
        <f>IF(D$12=0,0,D60/D$12)</f>
        <v>0</v>
      </c>
      <c r="G60" s="13"/>
      <c r="H60" s="19">
        <f>+H16-H18+H58</f>
        <v>-17120.590153846155</v>
      </c>
      <c r="I60" s="13"/>
      <c r="J60" s="21">
        <f>IF(H$12=0,0,H60/H$12)</f>
        <v>0</v>
      </c>
      <c r="K60" s="15"/>
      <c r="L60" s="19">
        <f>+D60-H60</f>
        <v>8939.1401538461541</v>
      </c>
      <c r="M60" s="15"/>
      <c r="N60" s="21">
        <f>IF(H60=0,0,L60/H60)</f>
        <v>-0.52212803843318267</v>
      </c>
      <c r="O60" s="26"/>
      <c r="P60" s="19">
        <f>+P16-P18+P58</f>
        <v>-70827.299999999988</v>
      </c>
      <c r="Q60" s="13"/>
      <c r="R60" s="21">
        <f>IF(P$12=0,0,P60/P$12)</f>
        <v>0</v>
      </c>
      <c r="S60" s="13"/>
      <c r="T60" s="19">
        <f>+T16-T18+T58</f>
        <v>-149702.79484615385</v>
      </c>
      <c r="U60" s="13"/>
      <c r="V60" s="21">
        <f>IF(T$12=0,0,T60/T$12)</f>
        <v>0</v>
      </c>
      <c r="W60" s="15"/>
      <c r="X60" s="19">
        <f>+P60-T60</f>
        <v>78875.494846153859</v>
      </c>
      <c r="Y60" s="15"/>
      <c r="Z60" s="21">
        <f>IF(T60=0,0,X60/T60)</f>
        <v>-0.52688057645959385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4</v>
      </c>
      <c r="C64" s="25"/>
      <c r="D64" s="34">
        <f>+D60-D62</f>
        <v>-8181.4500000000007</v>
      </c>
      <c r="E64" s="13"/>
      <c r="F64" s="30">
        <f>IF(D$12=0,0,D64/D$12)</f>
        <v>0</v>
      </c>
      <c r="G64" s="13"/>
      <c r="H64" s="34">
        <f>+H60-H62</f>
        <v>-17120.590153846155</v>
      </c>
      <c r="I64" s="13"/>
      <c r="J64" s="30">
        <f>IF(H$12=0,0,H64/H$12)</f>
        <v>0</v>
      </c>
      <c r="K64" s="15"/>
      <c r="L64" s="34">
        <f>D64-H64</f>
        <v>8939.1401538461541</v>
      </c>
      <c r="M64" s="15"/>
      <c r="N64" s="30">
        <f>IF(H64=0,0,L64/H64)</f>
        <v>-0.52212803843318267</v>
      </c>
      <c r="O64" s="26"/>
      <c r="P64" s="34">
        <f>+P60-P62</f>
        <v>-70827.299999999988</v>
      </c>
      <c r="Q64" s="13"/>
      <c r="R64" s="30">
        <f>IF(P$12=0,0,P64/P$12)</f>
        <v>0</v>
      </c>
      <c r="S64" s="13"/>
      <c r="T64" s="34">
        <f>+T60-T62</f>
        <v>-149702.79484615385</v>
      </c>
      <c r="U64" s="13"/>
      <c r="V64" s="30">
        <f>IF(T$12=0,0,T64/T$12)</f>
        <v>0</v>
      </c>
      <c r="W64" s="15"/>
      <c r="X64" s="34">
        <f>P64-T64</f>
        <v>78875.494846153859</v>
      </c>
      <c r="Y64" s="15"/>
      <c r="Z64" s="30">
        <f>IF(T64=0,0,X64/T64)</f>
        <v>-0.52688057645959385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5</v>
      </c>
      <c r="C67" s="25"/>
      <c r="D67" s="35">
        <f>SUM(D64:D66)</f>
        <v>-8181.4500000000007</v>
      </c>
      <c r="E67" s="13"/>
      <c r="F67" s="31">
        <f>IF(D$12=0,0,D67/D$12)</f>
        <v>0</v>
      </c>
      <c r="G67" s="13"/>
      <c r="H67" s="35">
        <f>SUM(H64:H66)</f>
        <v>-17120.590153846155</v>
      </c>
      <c r="I67" s="13"/>
      <c r="J67" s="31">
        <f>IF(H$12=0,0,H67/H$12)</f>
        <v>0</v>
      </c>
      <c r="K67" s="15"/>
      <c r="L67" s="35">
        <f>+D67-H67</f>
        <v>8939.1401538461541</v>
      </c>
      <c r="M67" s="15"/>
      <c r="N67" s="31">
        <f>IF(H67=0,0,L67/H67)</f>
        <v>-0.52212803843318267</v>
      </c>
      <c r="O67" s="26"/>
      <c r="P67" s="35">
        <f>SUM(P64:P66)</f>
        <v>-70827.299999999988</v>
      </c>
      <c r="Q67" s="13"/>
      <c r="R67" s="31">
        <f>IF(P$12=0,0,P67/P$12)</f>
        <v>0</v>
      </c>
      <c r="S67" s="13"/>
      <c r="T67" s="35">
        <f>SUM(T64:T66)</f>
        <v>-149702.79484615385</v>
      </c>
      <c r="U67" s="13"/>
      <c r="V67" s="31">
        <f>IF(T$12=0,0,T67/T$12)</f>
        <v>0</v>
      </c>
      <c r="W67" s="15"/>
      <c r="X67" s="35">
        <f>+P67-T67</f>
        <v>78875.494846153859</v>
      </c>
      <c r="Y67" s="15"/>
      <c r="Z67" s="31">
        <f>IF(T67=0,0,X67/T67)</f>
        <v>-0.52688057645959385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3">
        <v>44267.671659224536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2" t="s">
        <v>314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7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202974.15000000002</v>
      </c>
      <c r="E12" s="4"/>
      <c r="F12" s="12"/>
      <c r="G12" s="4"/>
      <c r="H12" s="4">
        <f>SUM(OSRRefH13x_0)</f>
        <v>780712</v>
      </c>
      <c r="I12" s="4"/>
      <c r="J12" s="12"/>
      <c r="K12" s="4"/>
      <c r="L12" s="4">
        <f t="shared" ref="L12:L78" si="0">+D12-H12</f>
        <v>-577737.85</v>
      </c>
      <c r="M12" s="4"/>
      <c r="N12" s="12">
        <f t="shared" ref="N12:N78" si="1">IF(H12=0,0,L12/H12)</f>
        <v>-0.74001405127627085</v>
      </c>
      <c r="O12" s="10"/>
      <c r="P12" s="4">
        <f>SUM(OSRRefP13x_0)</f>
        <v>4082999.0099999993</v>
      </c>
      <c r="Q12" s="4"/>
      <c r="R12" s="12"/>
      <c r="S12" s="4"/>
      <c r="T12" s="4">
        <f>SUM(OSRRefT13x_0)</f>
        <v>7665118</v>
      </c>
      <c r="U12" s="4"/>
      <c r="V12" s="12"/>
      <c r="W12" s="4"/>
      <c r="X12" s="4">
        <f t="shared" ref="X12:X78" si="2">+P12-T12</f>
        <v>-3582118.9900000007</v>
      </c>
      <c r="Y12" s="4"/>
      <c r="Z12" s="12">
        <f t="shared" ref="Z12:Z78" si="3">IF(T12=0,0,X12/T12)</f>
        <v>-0.46732731185612547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-7353.1</f>
        <v>-7353.1</v>
      </c>
      <c r="E13" s="2"/>
      <c r="F13" s="22"/>
      <c r="G13" s="2"/>
      <c r="H13" s="2">
        <v>611229</v>
      </c>
      <c r="I13" s="2"/>
      <c r="J13" s="22"/>
      <c r="K13" s="2"/>
      <c r="L13" s="2">
        <f t="shared" si="0"/>
        <v>-618582.1</v>
      </c>
      <c r="M13" s="2"/>
      <c r="N13" s="22">
        <f t="shared" si="1"/>
        <v>-1.0120300247534066</v>
      </c>
      <c r="O13" s="11"/>
      <c r="P13" s="2">
        <f>-108361.13</f>
        <v>-108361.13</v>
      </c>
      <c r="Q13" s="2"/>
      <c r="R13" s="22"/>
      <c r="S13" s="2"/>
      <c r="T13" s="2">
        <v>7166289</v>
      </c>
      <c r="U13" s="2"/>
      <c r="V13" s="22"/>
      <c r="W13" s="2"/>
      <c r="X13" s="2">
        <f t="shared" si="2"/>
        <v>-7274650.1299999999</v>
      </c>
      <c r="Y13" s="2"/>
      <c r="Z13" s="22">
        <f t="shared" si="3"/>
        <v>-1.0151209545135564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22"/>
      <c r="G14" s="2"/>
      <c r="H14" s="2"/>
      <c r="I14" s="2"/>
      <c r="J14" s="22"/>
      <c r="K14" s="2"/>
      <c r="L14" s="2">
        <f t="shared" si="0"/>
        <v>34627.67</v>
      </c>
      <c r="M14" s="2"/>
      <c r="N14" s="22">
        <f t="shared" si="1"/>
        <v>0</v>
      </c>
      <c r="O14" s="11"/>
      <c r="P14" s="2">
        <f>--1224724.01</f>
        <v>1224724.01</v>
      </c>
      <c r="Q14" s="2"/>
      <c r="R14" s="22"/>
      <c r="S14" s="2"/>
      <c r="T14" s="2"/>
      <c r="U14" s="2"/>
      <c r="V14" s="22"/>
      <c r="W14" s="2"/>
      <c r="X14" s="2">
        <f t="shared" si="2"/>
        <v>1224724.01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22"/>
      <c r="G15" s="2"/>
      <c r="H15" s="2"/>
      <c r="I15" s="2"/>
      <c r="J15" s="22"/>
      <c r="K15" s="2"/>
      <c r="L15" s="2">
        <f t="shared" si="0"/>
        <v>12732.98</v>
      </c>
      <c r="M15" s="2"/>
      <c r="N15" s="22">
        <f t="shared" si="1"/>
        <v>0</v>
      </c>
      <c r="O15" s="11"/>
      <c r="P15" s="2">
        <f>--575134.48</f>
        <v>575134.48</v>
      </c>
      <c r="Q15" s="2"/>
      <c r="R15" s="22"/>
      <c r="S15" s="2"/>
      <c r="T15" s="2"/>
      <c r="U15" s="2"/>
      <c r="V15" s="22"/>
      <c r="W15" s="2"/>
      <c r="X15" s="2">
        <f t="shared" si="2"/>
        <v>575134.48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--41.38</f>
        <v>41.38</v>
      </c>
      <c r="E21" s="2"/>
      <c r="F21" s="22"/>
      <c r="G21" s="2"/>
      <c r="H21" s="2"/>
      <c r="I21" s="2"/>
      <c r="J21" s="22"/>
      <c r="K21" s="2"/>
      <c r="L21" s="2">
        <f t="shared" si="0"/>
        <v>41.38</v>
      </c>
      <c r="M21" s="2"/>
      <c r="N21" s="22">
        <f t="shared" si="1"/>
        <v>0</v>
      </c>
      <c r="O21" s="11"/>
      <c r="P21" s="2">
        <f>--448.38</f>
        <v>448.38</v>
      </c>
      <c r="Q21" s="2"/>
      <c r="R21" s="22"/>
      <c r="S21" s="2"/>
      <c r="T21" s="2"/>
      <c r="U21" s="2"/>
      <c r="V21" s="22"/>
      <c r="W21" s="2"/>
      <c r="X21" s="2">
        <f t="shared" si="2"/>
        <v>448.38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--5808.1</f>
        <v>5808.1</v>
      </c>
      <c r="E22" s="2"/>
      <c r="F22" s="22"/>
      <c r="G22" s="2"/>
      <c r="H22" s="2"/>
      <c r="I22" s="2"/>
      <c r="J22" s="22"/>
      <c r="K22" s="2"/>
      <c r="L22" s="2">
        <f t="shared" si="0"/>
        <v>5808.1</v>
      </c>
      <c r="M22" s="2"/>
      <c r="N22" s="22">
        <f t="shared" si="1"/>
        <v>0</v>
      </c>
      <c r="O22" s="11"/>
      <c r="P22" s="2">
        <f>--54484.32</f>
        <v>54484.32</v>
      </c>
      <c r="Q22" s="2"/>
      <c r="R22" s="22"/>
      <c r="S22" s="2"/>
      <c r="T22" s="2"/>
      <c r="U22" s="2"/>
      <c r="V22" s="22"/>
      <c r="W22" s="2"/>
      <c r="X22" s="2">
        <f t="shared" si="2"/>
        <v>54484.32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--1924.8</f>
        <v>1924.8</v>
      </c>
      <c r="E23" s="2"/>
      <c r="F23" s="22"/>
      <c r="G23" s="2"/>
      <c r="H23" s="2"/>
      <c r="I23" s="2"/>
      <c r="J23" s="22"/>
      <c r="K23" s="2"/>
      <c r="L23" s="2">
        <f t="shared" si="0"/>
        <v>1924.8</v>
      </c>
      <c r="M23" s="2"/>
      <c r="N23" s="22">
        <f t="shared" si="1"/>
        <v>0</v>
      </c>
      <c r="O23" s="11"/>
      <c r="P23" s="2">
        <f>--40876.62</f>
        <v>40876.620000000003</v>
      </c>
      <c r="Q23" s="2"/>
      <c r="R23" s="22"/>
      <c r="S23" s="2"/>
      <c r="T23" s="2"/>
      <c r="U23" s="2"/>
      <c r="V23" s="22"/>
      <c r="W23" s="2"/>
      <c r="X23" s="2">
        <f t="shared" si="2"/>
        <v>40876.620000000003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--593.6</f>
        <v>593.6</v>
      </c>
      <c r="E24" s="2"/>
      <c r="F24" s="22"/>
      <c r="G24" s="2"/>
      <c r="H24" s="2"/>
      <c r="I24" s="2"/>
      <c r="J24" s="22"/>
      <c r="K24" s="2"/>
      <c r="L24" s="2">
        <f t="shared" si="0"/>
        <v>593.6</v>
      </c>
      <c r="M24" s="2"/>
      <c r="N24" s="22">
        <f t="shared" si="1"/>
        <v>0</v>
      </c>
      <c r="O24" s="11"/>
      <c r="P24" s="2">
        <f>--3180.84</f>
        <v>3180.84</v>
      </c>
      <c r="Q24" s="2"/>
      <c r="R24" s="22"/>
      <c r="S24" s="2"/>
      <c r="T24" s="2"/>
      <c r="U24" s="2"/>
      <c r="V24" s="22"/>
      <c r="W24" s="2"/>
      <c r="X24" s="2">
        <f t="shared" si="2"/>
        <v>3180.84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4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--73245.08</f>
        <v>73245.08</v>
      </c>
      <c r="E27" s="2"/>
      <c r="F27" s="22"/>
      <c r="G27" s="2"/>
      <c r="H27" s="2"/>
      <c r="I27" s="2"/>
      <c r="J27" s="22"/>
      <c r="K27" s="2"/>
      <c r="L27" s="2">
        <f t="shared" si="0"/>
        <v>73245.08</v>
      </c>
      <c r="M27" s="2"/>
      <c r="N27" s="22">
        <f t="shared" si="1"/>
        <v>0</v>
      </c>
      <c r="O27" s="11"/>
      <c r="P27" s="2">
        <f>--671347.98</f>
        <v>671347.98</v>
      </c>
      <c r="Q27" s="2"/>
      <c r="R27" s="22"/>
      <c r="S27" s="2"/>
      <c r="T27" s="2"/>
      <c r="U27" s="2"/>
      <c r="V27" s="22"/>
      <c r="W27" s="2"/>
      <c r="X27" s="2">
        <f t="shared" si="2"/>
        <v>671347.98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--27100.04</f>
        <v>27100.04</v>
      </c>
      <c r="E28" s="2"/>
      <c r="F28" s="22"/>
      <c r="G28" s="2"/>
      <c r="H28" s="2"/>
      <c r="I28" s="2"/>
      <c r="J28" s="22"/>
      <c r="K28" s="2"/>
      <c r="L28" s="2">
        <f t="shared" si="0"/>
        <v>27100.04</v>
      </c>
      <c r="M28" s="2"/>
      <c r="N28" s="22">
        <f t="shared" si="1"/>
        <v>0</v>
      </c>
      <c r="O28" s="11"/>
      <c r="P28" s="2">
        <f>--276199.31</f>
        <v>276199.31</v>
      </c>
      <c r="Q28" s="2"/>
      <c r="R28" s="22"/>
      <c r="S28" s="2"/>
      <c r="T28" s="2"/>
      <c r="U28" s="2"/>
      <c r="V28" s="22"/>
      <c r="W28" s="2"/>
      <c r="X28" s="2">
        <f t="shared" si="2"/>
        <v>276199.31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--4794.04</f>
        <v>4794.04</v>
      </c>
      <c r="E29" s="2"/>
      <c r="F29" s="22"/>
      <c r="G29" s="2"/>
      <c r="H29" s="2"/>
      <c r="I29" s="2"/>
      <c r="J29" s="22"/>
      <c r="K29" s="2"/>
      <c r="L29" s="2">
        <f t="shared" si="0"/>
        <v>4794.04</v>
      </c>
      <c r="M29" s="2"/>
      <c r="N29" s="22">
        <f t="shared" si="1"/>
        <v>0</v>
      </c>
      <c r="O29" s="11"/>
      <c r="P29" s="2">
        <f>--78994.92</f>
        <v>78994.92</v>
      </c>
      <c r="Q29" s="2"/>
      <c r="R29" s="22"/>
      <c r="S29" s="2"/>
      <c r="T29" s="2"/>
      <c r="U29" s="2"/>
      <c r="V29" s="22"/>
      <c r="W29" s="2"/>
      <c r="X29" s="2">
        <f t="shared" si="2"/>
        <v>78994.92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--6195.85</f>
        <v>6195.85</v>
      </c>
      <c r="E30" s="2"/>
      <c r="F30" s="22"/>
      <c r="G30" s="2"/>
      <c r="H30" s="2"/>
      <c r="I30" s="2"/>
      <c r="J30" s="22"/>
      <c r="K30" s="2"/>
      <c r="L30" s="2">
        <f t="shared" si="0"/>
        <v>6195.85</v>
      </c>
      <c r="M30" s="2"/>
      <c r="N30" s="22">
        <f t="shared" si="1"/>
        <v>0</v>
      </c>
      <c r="O30" s="11"/>
      <c r="P30" s="2">
        <f>--124150.66</f>
        <v>124150.66</v>
      </c>
      <c r="Q30" s="2"/>
      <c r="R30" s="22"/>
      <c r="S30" s="2"/>
      <c r="T30" s="2"/>
      <c r="U30" s="2"/>
      <c r="V30" s="22"/>
      <c r="W30" s="2"/>
      <c r="X30" s="2">
        <f t="shared" si="2"/>
        <v>124150.66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--2036.78</f>
        <v>2036.78</v>
      </c>
      <c r="E31" s="2"/>
      <c r="F31" s="22"/>
      <c r="G31" s="2"/>
      <c r="H31" s="2"/>
      <c r="I31" s="2"/>
      <c r="J31" s="22"/>
      <c r="K31" s="2"/>
      <c r="L31" s="2">
        <f t="shared" si="0"/>
        <v>2036.78</v>
      </c>
      <c r="M31" s="2"/>
      <c r="N31" s="22">
        <f t="shared" si="1"/>
        <v>0</v>
      </c>
      <c r="O31" s="11"/>
      <c r="P31" s="2">
        <f>--29572.4</f>
        <v>29572.400000000001</v>
      </c>
      <c r="Q31" s="2"/>
      <c r="R31" s="22"/>
      <c r="S31" s="2"/>
      <c r="T31" s="2"/>
      <c r="U31" s="2"/>
      <c r="V31" s="22"/>
      <c r="W31" s="2"/>
      <c r="X31" s="2">
        <f t="shared" si="2"/>
        <v>29572.400000000001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--10039.9</f>
        <v>10039.9</v>
      </c>
      <c r="E32" s="2"/>
      <c r="F32" s="22"/>
      <c r="G32" s="2"/>
      <c r="H32" s="2"/>
      <c r="I32" s="2"/>
      <c r="J32" s="22"/>
      <c r="K32" s="2"/>
      <c r="L32" s="2">
        <f t="shared" si="0"/>
        <v>10039.9</v>
      </c>
      <c r="M32" s="2"/>
      <c r="N32" s="22">
        <f t="shared" si="1"/>
        <v>0</v>
      </c>
      <c r="O32" s="11"/>
      <c r="P32" s="2">
        <f>--135489.57</f>
        <v>135489.57</v>
      </c>
      <c r="Q32" s="2"/>
      <c r="R32" s="22"/>
      <c r="S32" s="2"/>
      <c r="T32" s="2"/>
      <c r="U32" s="2"/>
      <c r="V32" s="22"/>
      <c r="W32" s="2"/>
      <c r="X32" s="2">
        <f t="shared" si="2"/>
        <v>135489.57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5"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5"/>
        <v>0</v>
      </c>
      <c r="E34" s="2"/>
      <c r="F34" s="22"/>
      <c r="G34" s="2"/>
      <c r="H34" s="2"/>
      <c r="I34" s="2"/>
      <c r="J34" s="22"/>
      <c r="K34" s="2"/>
      <c r="L34" s="2">
        <f t="shared" si="0"/>
        <v>0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"4095", " - ", "TAXABLE SALES-CUSTOMER SERVICE")</f>
        <v xml:space="preserve">          4095 - TAXABLE SALES-CUSTOMER SERVICE</v>
      </c>
      <c r="C35" s="11"/>
      <c r="D35" s="2">
        <f>--139.85</f>
        <v>139.85</v>
      </c>
      <c r="E35" s="2"/>
      <c r="F35" s="22"/>
      <c r="G35" s="2"/>
      <c r="H35" s="2"/>
      <c r="I35" s="2"/>
      <c r="J35" s="22"/>
      <c r="K35" s="2"/>
      <c r="L35" s="2">
        <f t="shared" si="0"/>
        <v>139.85</v>
      </c>
      <c r="M35" s="2"/>
      <c r="N35" s="22">
        <f t="shared" si="1"/>
        <v>0</v>
      </c>
      <c r="O35" s="11"/>
      <c r="P35" s="2">
        <f>--139.85</f>
        <v>139.85</v>
      </c>
      <c r="Q35" s="2"/>
      <c r="R35" s="22"/>
      <c r="S35" s="2"/>
      <c r="T35" s="2"/>
      <c r="U35" s="2"/>
      <c r="V35" s="22"/>
      <c r="W35" s="2"/>
      <c r="X35" s="2">
        <f t="shared" si="2"/>
        <v>139.85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"4100", " - ", "NON-TAXABLE SALES")</f>
        <v xml:space="preserve">          4100 - NON-TAXABLE SALES</v>
      </c>
      <c r="C36" s="11"/>
      <c r="D36" s="2">
        <f>--5617.7</f>
        <v>5617.7</v>
      </c>
      <c r="E36" s="2"/>
      <c r="F36" s="22"/>
      <c r="G36" s="2"/>
      <c r="H36" s="2">
        <v>169483</v>
      </c>
      <c r="I36" s="2"/>
      <c r="J36" s="22"/>
      <c r="K36" s="2"/>
      <c r="L36" s="2">
        <f t="shared" si="0"/>
        <v>-163865.29999999999</v>
      </c>
      <c r="M36" s="2"/>
      <c r="N36" s="22">
        <f t="shared" si="1"/>
        <v>-0.96685390275130834</v>
      </c>
      <c r="O36" s="11"/>
      <c r="P36" s="2">
        <f>--284173.56</f>
        <v>284173.56</v>
      </c>
      <c r="Q36" s="2"/>
      <c r="R36" s="22"/>
      <c r="S36" s="2"/>
      <c r="T36" s="2">
        <v>498829</v>
      </c>
      <c r="U36" s="2"/>
      <c r="V36" s="22"/>
      <c r="W36" s="2"/>
      <c r="X36" s="2">
        <f t="shared" si="2"/>
        <v>-214655.44</v>
      </c>
      <c r="Y36" s="2"/>
      <c r="Z36" s="22">
        <f t="shared" si="3"/>
        <v>-0.43031868636346321</v>
      </c>
    </row>
    <row r="37" spans="1:26" s="24" customFormat="1" hidden="1" outlineLevel="1" x14ac:dyDescent="0.25">
      <c r="A37" s="51"/>
      <c r="B37" s="11" t="str">
        <f>CONCATENATE("          ", "4101", " - ", "NON-TAXABLE SALES-NEW TEXT")</f>
        <v xml:space="preserve">          4101 - NON-TAXABLE SALES-NEW TEXT</v>
      </c>
      <c r="C37" s="11"/>
      <c r="D37" s="2">
        <f>--6785.91</f>
        <v>6785.91</v>
      </c>
      <c r="E37" s="2"/>
      <c r="F37" s="22"/>
      <c r="G37" s="2"/>
      <c r="H37" s="2"/>
      <c r="I37" s="2"/>
      <c r="J37" s="22"/>
      <c r="K37" s="2"/>
      <c r="L37" s="2">
        <f t="shared" si="0"/>
        <v>6785.91</v>
      </c>
      <c r="M37" s="2"/>
      <c r="N37" s="22">
        <f t="shared" si="1"/>
        <v>0</v>
      </c>
      <c r="O37" s="11"/>
      <c r="P37" s="2">
        <f>--111011.54</f>
        <v>111011.54</v>
      </c>
      <c r="Q37" s="2"/>
      <c r="R37" s="22"/>
      <c r="S37" s="2"/>
      <c r="T37" s="2"/>
      <c r="U37" s="2"/>
      <c r="V37" s="22"/>
      <c r="W37" s="2"/>
      <c r="X37" s="2">
        <f t="shared" si="2"/>
        <v>111011.54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"4102", " - ", "NON-TAXABLE SALES-USED TEXT")</f>
        <v xml:space="preserve">          4102 - NON-TAXABLE SALES-USED TEXT</v>
      </c>
      <c r="C38" s="11"/>
      <c r="D38" s="2">
        <f>--3426.05</f>
        <v>3426.05</v>
      </c>
      <c r="E38" s="2"/>
      <c r="F38" s="22"/>
      <c r="G38" s="2"/>
      <c r="H38" s="2"/>
      <c r="I38" s="2"/>
      <c r="J38" s="22"/>
      <c r="K38" s="2"/>
      <c r="L38" s="2">
        <f t="shared" si="0"/>
        <v>3426.05</v>
      </c>
      <c r="M38" s="2"/>
      <c r="N38" s="22">
        <f t="shared" si="1"/>
        <v>0</v>
      </c>
      <c r="O38" s="11"/>
      <c r="P38" s="2">
        <f>--46387.37</f>
        <v>46387.37</v>
      </c>
      <c r="Q38" s="2"/>
      <c r="R38" s="22"/>
      <c r="S38" s="2"/>
      <c r="T38" s="2"/>
      <c r="U38" s="2"/>
      <c r="V38" s="22"/>
      <c r="W38" s="2"/>
      <c r="X38" s="2">
        <f t="shared" si="2"/>
        <v>46387.37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--1138.95</f>
        <v>1138.95</v>
      </c>
      <c r="Q39" s="2"/>
      <c r="R39" s="22"/>
      <c r="S39" s="2"/>
      <c r="T39" s="2"/>
      <c r="U39" s="2"/>
      <c r="V39" s="22"/>
      <c r="W39" s="2"/>
      <c r="X39" s="2">
        <f t="shared" si="2"/>
        <v>1138.95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--17705.92</f>
        <v>17705.919999999998</v>
      </c>
      <c r="E40" s="2"/>
      <c r="F40" s="22"/>
      <c r="G40" s="2"/>
      <c r="H40" s="2"/>
      <c r="I40" s="2"/>
      <c r="J40" s="22"/>
      <c r="K40" s="2"/>
      <c r="L40" s="2">
        <f t="shared" si="0"/>
        <v>17705.919999999998</v>
      </c>
      <c r="M40" s="2"/>
      <c r="N40" s="22">
        <f t="shared" si="1"/>
        <v>0</v>
      </c>
      <c r="O40" s="11"/>
      <c r="P40" s="2">
        <f>--475874.05</f>
        <v>475874.05</v>
      </c>
      <c r="Q40" s="2"/>
      <c r="R40" s="22"/>
      <c r="S40" s="2"/>
      <c r="T40" s="2"/>
      <c r="U40" s="2"/>
      <c r="V40" s="22"/>
      <c r="W40" s="2"/>
      <c r="X40" s="2">
        <f t="shared" si="2"/>
        <v>475874.05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>--3150</f>
        <v>3150</v>
      </c>
      <c r="E41" s="2"/>
      <c r="F41" s="22"/>
      <c r="G41" s="2"/>
      <c r="H41" s="2"/>
      <c r="I41" s="2"/>
      <c r="J41" s="22"/>
      <c r="K41" s="2"/>
      <c r="L41" s="2">
        <f t="shared" si="0"/>
        <v>3150</v>
      </c>
      <c r="M41" s="2"/>
      <c r="N41" s="22">
        <f t="shared" si="1"/>
        <v>0</v>
      </c>
      <c r="O41" s="11"/>
      <c r="P41" s="2">
        <f>--10139.25</f>
        <v>10139.25</v>
      </c>
      <c r="Q41" s="2"/>
      <c r="R41" s="22"/>
      <c r="S41" s="2"/>
      <c r="T41" s="2"/>
      <c r="U41" s="2"/>
      <c r="V41" s="22"/>
      <c r="W41" s="2"/>
      <c r="X41" s="2">
        <f t="shared" si="2"/>
        <v>10139.25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ref="D42:D43" si="6">0</f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--771.73</f>
        <v>771.73</v>
      </c>
      <c r="Q42" s="2"/>
      <c r="R42" s="22"/>
      <c r="S42" s="2"/>
      <c r="T42" s="2"/>
      <c r="U42" s="2"/>
      <c r="V42" s="22"/>
      <c r="W42" s="2"/>
      <c r="X42" s="2">
        <f t="shared" si="2"/>
        <v>771.73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6"/>
        <v>0</v>
      </c>
      <c r="E43" s="2"/>
      <c r="F43" s="22"/>
      <c r="G43" s="2"/>
      <c r="H43" s="2"/>
      <c r="I43" s="2"/>
      <c r="J43" s="22"/>
      <c r="K43" s="2"/>
      <c r="L43" s="2">
        <f t="shared" si="0"/>
        <v>0</v>
      </c>
      <c r="M43" s="2"/>
      <c r="N43" s="22">
        <f t="shared" si="1"/>
        <v>0</v>
      </c>
      <c r="O43" s="11"/>
      <c r="P43" s="2">
        <f>--52.68</f>
        <v>52.68</v>
      </c>
      <c r="Q43" s="2"/>
      <c r="R43" s="22"/>
      <c r="S43" s="2"/>
      <c r="T43" s="2"/>
      <c r="U43" s="2"/>
      <c r="V43" s="22"/>
      <c r="W43" s="2"/>
      <c r="X43" s="2">
        <f t="shared" si="2"/>
        <v>52.68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--472.19</f>
        <v>472.19</v>
      </c>
      <c r="E44" s="2"/>
      <c r="F44" s="22"/>
      <c r="G44" s="2"/>
      <c r="H44" s="2"/>
      <c r="I44" s="2"/>
      <c r="J44" s="22"/>
      <c r="K44" s="2"/>
      <c r="L44" s="2">
        <f t="shared" si="0"/>
        <v>472.19</v>
      </c>
      <c r="M44" s="2"/>
      <c r="N44" s="22">
        <f t="shared" si="1"/>
        <v>0</v>
      </c>
      <c r="O44" s="11"/>
      <c r="P44" s="2">
        <f>--6217.36</f>
        <v>6217.36</v>
      </c>
      <c r="Q44" s="2"/>
      <c r="R44" s="22"/>
      <c r="S44" s="2"/>
      <c r="T44" s="2"/>
      <c r="U44" s="2"/>
      <c r="V44" s="22"/>
      <c r="W44" s="2"/>
      <c r="X44" s="2">
        <f t="shared" si="2"/>
        <v>6217.36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"4128", " - ", "NON-TAXABLE SALES-ART/TECH")</f>
        <v xml:space="preserve">          4128 - NON-TAXABLE SALES-ART/TECH</v>
      </c>
      <c r="C45" s="11"/>
      <c r="D45" s="2">
        <f>--9.08</f>
        <v>9.08</v>
      </c>
      <c r="E45" s="2"/>
      <c r="F45" s="22"/>
      <c r="G45" s="2"/>
      <c r="H45" s="2"/>
      <c r="I45" s="2"/>
      <c r="J45" s="22"/>
      <c r="K45" s="2"/>
      <c r="L45" s="2">
        <f t="shared" si="0"/>
        <v>9.08</v>
      </c>
      <c r="M45" s="2"/>
      <c r="N45" s="22">
        <f t="shared" si="1"/>
        <v>0</v>
      </c>
      <c r="O45" s="11"/>
      <c r="P45" s="2">
        <f>--38.58</f>
        <v>38.58</v>
      </c>
      <c r="Q45" s="2"/>
      <c r="R45" s="22"/>
      <c r="S45" s="2"/>
      <c r="T45" s="2"/>
      <c r="U45" s="2"/>
      <c r="V45" s="22"/>
      <c r="W45" s="2"/>
      <c r="X45" s="2">
        <f t="shared" si="2"/>
        <v>38.58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"4131", " - ", "NON-TAXABLE SALES-FOOD")</f>
        <v xml:space="preserve">          4131 - NON-TAXABLE SALES-FOOD</v>
      </c>
      <c r="C46" s="11"/>
      <c r="D46" s="2">
        <f>--934.88</f>
        <v>934.88</v>
      </c>
      <c r="E46" s="2"/>
      <c r="F46" s="22"/>
      <c r="G46" s="2"/>
      <c r="H46" s="2"/>
      <c r="I46" s="2"/>
      <c r="J46" s="22"/>
      <c r="K46" s="2"/>
      <c r="L46" s="2">
        <f t="shared" si="0"/>
        <v>934.88</v>
      </c>
      <c r="M46" s="2"/>
      <c r="N46" s="22">
        <f t="shared" si="1"/>
        <v>0</v>
      </c>
      <c r="O46" s="11"/>
      <c r="P46" s="2">
        <f>--9575.15</f>
        <v>9575.15</v>
      </c>
      <c r="Q46" s="2"/>
      <c r="R46" s="22"/>
      <c r="S46" s="2"/>
      <c r="T46" s="2"/>
      <c r="U46" s="2"/>
      <c r="V46" s="22"/>
      <c r="W46" s="2"/>
      <c r="X46" s="2">
        <f t="shared" si="2"/>
        <v>9575.15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ref="D47:D50" si="7"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--2054.37</f>
        <v>2054.37</v>
      </c>
      <c r="Q47" s="2"/>
      <c r="R47" s="22"/>
      <c r="S47" s="2"/>
      <c r="T47" s="2"/>
      <c r="U47" s="2"/>
      <c r="V47" s="22"/>
      <c r="W47" s="2"/>
      <c r="X47" s="2">
        <f t="shared" si="2"/>
        <v>2054.37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7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--80.71</f>
        <v>80.709999999999994</v>
      </c>
      <c r="Q48" s="2"/>
      <c r="R48" s="22"/>
      <c r="S48" s="2"/>
      <c r="T48" s="2"/>
      <c r="U48" s="2"/>
      <c r="V48" s="22"/>
      <c r="W48" s="2"/>
      <c r="X48" s="2">
        <f t="shared" si="2"/>
        <v>80.709999999999994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7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--45.53</f>
        <v>45.53</v>
      </c>
      <c r="Q49" s="2"/>
      <c r="R49" s="22"/>
      <c r="S49" s="2"/>
      <c r="T49" s="2"/>
      <c r="U49" s="2"/>
      <c r="V49" s="22"/>
      <c r="W49" s="2"/>
      <c r="X49" s="2">
        <f t="shared" si="2"/>
        <v>45.53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7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--68.25</f>
        <v>68.25</v>
      </c>
      <c r="Q50" s="2"/>
      <c r="R50" s="22"/>
      <c r="S50" s="2"/>
      <c r="T50" s="2"/>
      <c r="U50" s="2"/>
      <c r="V50" s="22"/>
      <c r="W50" s="2"/>
      <c r="X50" s="2">
        <f t="shared" si="2"/>
        <v>68.25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>--1947.86</f>
        <v>1947.86</v>
      </c>
      <c r="E51" s="2"/>
      <c r="F51" s="22"/>
      <c r="G51" s="2"/>
      <c r="H51" s="2"/>
      <c r="I51" s="2"/>
      <c r="J51" s="22"/>
      <c r="K51" s="2"/>
      <c r="L51" s="2">
        <f t="shared" si="0"/>
        <v>1947.86</v>
      </c>
      <c r="M51" s="2"/>
      <c r="N51" s="22">
        <f t="shared" si="1"/>
        <v>0</v>
      </c>
      <c r="O51" s="11"/>
      <c r="P51" s="2">
        <f>--115125.28</f>
        <v>115125.28</v>
      </c>
      <c r="Q51" s="2"/>
      <c r="R51" s="22"/>
      <c r="S51" s="2"/>
      <c r="T51" s="2"/>
      <c r="U51" s="2"/>
      <c r="V51" s="22"/>
      <c r="W51" s="2"/>
      <c r="X51" s="2">
        <f t="shared" si="2"/>
        <v>115125.28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"4141", " - ", "NON-TAXABLE SALES-LOGO GIFTS")</f>
        <v xml:space="preserve">          4141 - NON-TAXABLE SALES-LOGO GIFTS</v>
      </c>
      <c r="C52" s="11"/>
      <c r="D52" s="2">
        <f>--671.25</f>
        <v>671.25</v>
      </c>
      <c r="E52" s="2"/>
      <c r="F52" s="22"/>
      <c r="G52" s="2"/>
      <c r="H52" s="2"/>
      <c r="I52" s="2"/>
      <c r="J52" s="22"/>
      <c r="K52" s="2"/>
      <c r="L52" s="2">
        <f t="shared" si="0"/>
        <v>671.25</v>
      </c>
      <c r="M52" s="2"/>
      <c r="N52" s="22">
        <f t="shared" si="1"/>
        <v>0</v>
      </c>
      <c r="O52" s="11"/>
      <c r="P52" s="2">
        <f>--8513.02</f>
        <v>8513.02</v>
      </c>
      <c r="Q52" s="2"/>
      <c r="R52" s="22"/>
      <c r="S52" s="2"/>
      <c r="T52" s="2"/>
      <c r="U52" s="2"/>
      <c r="V52" s="22"/>
      <c r="W52" s="2"/>
      <c r="X52" s="2">
        <f t="shared" si="2"/>
        <v>8513.02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>--4.58</f>
        <v>4.58</v>
      </c>
      <c r="E53" s="2"/>
      <c r="F53" s="22"/>
      <c r="G53" s="2"/>
      <c r="H53" s="2"/>
      <c r="I53" s="2"/>
      <c r="J53" s="22"/>
      <c r="K53" s="2"/>
      <c r="L53" s="2">
        <f t="shared" si="0"/>
        <v>4.58</v>
      </c>
      <c r="M53" s="2"/>
      <c r="N53" s="22">
        <f t="shared" si="1"/>
        <v>0</v>
      </c>
      <c r="O53" s="11"/>
      <c r="P53" s="2">
        <f>--2264.47</f>
        <v>2264.4699999999998</v>
      </c>
      <c r="Q53" s="2"/>
      <c r="R53" s="22"/>
      <c r="S53" s="2"/>
      <c r="T53" s="2"/>
      <c r="U53" s="2"/>
      <c r="V53" s="22"/>
      <c r="W53" s="2"/>
      <c r="X53" s="2">
        <f t="shared" si="2"/>
        <v>2264.4699999999998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"4143", " - ", "NON-TAXABLE SALES-CARDS")</f>
        <v xml:space="preserve">          4143 - NON-TAXABLE SALES-CARDS</v>
      </c>
      <c r="C54" s="11"/>
      <c r="D54" s="2">
        <f>--149.92</f>
        <v>149.91999999999999</v>
      </c>
      <c r="E54" s="2"/>
      <c r="F54" s="22"/>
      <c r="G54" s="2"/>
      <c r="H54" s="2"/>
      <c r="I54" s="2"/>
      <c r="J54" s="22"/>
      <c r="K54" s="2"/>
      <c r="L54" s="2">
        <f t="shared" si="0"/>
        <v>149.91999999999999</v>
      </c>
      <c r="M54" s="2"/>
      <c r="N54" s="22">
        <f t="shared" si="1"/>
        <v>0</v>
      </c>
      <c r="O54" s="11"/>
      <c r="P54" s="2">
        <f>--2119.66</f>
        <v>2119.66</v>
      </c>
      <c r="Q54" s="2"/>
      <c r="R54" s="22"/>
      <c r="S54" s="2"/>
      <c r="T54" s="2"/>
      <c r="U54" s="2"/>
      <c r="V54" s="22"/>
      <c r="W54" s="2"/>
      <c r="X54" s="2">
        <f t="shared" si="2"/>
        <v>2119.66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>--39.95</f>
        <v>39.950000000000003</v>
      </c>
      <c r="E55" s="2"/>
      <c r="F55" s="22"/>
      <c r="G55" s="2"/>
      <c r="H55" s="2"/>
      <c r="I55" s="2"/>
      <c r="J55" s="22"/>
      <c r="K55" s="2"/>
      <c r="L55" s="2">
        <f t="shared" si="0"/>
        <v>39.950000000000003</v>
      </c>
      <c r="M55" s="2"/>
      <c r="N55" s="22">
        <f t="shared" si="1"/>
        <v>0</v>
      </c>
      <c r="O55" s="11"/>
      <c r="P55" s="2">
        <f>--649.35</f>
        <v>649.35</v>
      </c>
      <c r="Q55" s="2"/>
      <c r="R55" s="22"/>
      <c r="S55" s="2"/>
      <c r="T55" s="2"/>
      <c r="U55" s="2"/>
      <c r="V55" s="22"/>
      <c r="W55" s="2"/>
      <c r="X55" s="2">
        <f t="shared" si="2"/>
        <v>649.35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>0</f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--53716.09</f>
        <v>53716.09</v>
      </c>
      <c r="Q56" s="2"/>
      <c r="R56" s="22"/>
      <c r="S56" s="2"/>
      <c r="T56" s="2"/>
      <c r="U56" s="2"/>
      <c r="V56" s="22"/>
      <c r="W56" s="2"/>
      <c r="X56" s="2">
        <f t="shared" si="2"/>
        <v>53716.09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>--67.8</f>
        <v>67.8</v>
      </c>
      <c r="E57" s="2"/>
      <c r="F57" s="22"/>
      <c r="G57" s="2"/>
      <c r="H57" s="2"/>
      <c r="I57" s="2"/>
      <c r="J57" s="22"/>
      <c r="K57" s="2"/>
      <c r="L57" s="2">
        <f t="shared" si="0"/>
        <v>67.8</v>
      </c>
      <c r="M57" s="2"/>
      <c r="N57" s="22">
        <f t="shared" si="1"/>
        <v>0</v>
      </c>
      <c r="O57" s="11"/>
      <c r="P57" s="2">
        <f>--208.4</f>
        <v>208.4</v>
      </c>
      <c r="Q57" s="2"/>
      <c r="R57" s="22"/>
      <c r="S57" s="2"/>
      <c r="T57" s="2"/>
      <c r="U57" s="2"/>
      <c r="V57" s="22"/>
      <c r="W57" s="2"/>
      <c r="X57" s="2">
        <f t="shared" si="2"/>
        <v>208.4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"4147", " - ", "NON-TAXABLE SALES-MISC")</f>
        <v xml:space="preserve">          4147 - NON-TAXABLE SALES-MISC</v>
      </c>
      <c r="C58" s="11"/>
      <c r="D58" s="2">
        <f>--17</f>
        <v>17</v>
      </c>
      <c r="E58" s="2"/>
      <c r="F58" s="22"/>
      <c r="G58" s="2"/>
      <c r="H58" s="2"/>
      <c r="I58" s="2"/>
      <c r="J58" s="22"/>
      <c r="K58" s="2"/>
      <c r="L58" s="2">
        <f t="shared" si="0"/>
        <v>17</v>
      </c>
      <c r="M58" s="2"/>
      <c r="N58" s="22">
        <f t="shared" si="1"/>
        <v>0</v>
      </c>
      <c r="O58" s="11"/>
      <c r="P58" s="2">
        <f>--132.5</f>
        <v>132.5</v>
      </c>
      <c r="Q58" s="2"/>
      <c r="R58" s="22"/>
      <c r="S58" s="2"/>
      <c r="T58" s="2"/>
      <c r="U58" s="2"/>
      <c r="V58" s="22"/>
      <c r="W58" s="2"/>
      <c r="X58" s="2">
        <f t="shared" si="2"/>
        <v>132.5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"4153", " - ", "NON-TAXABLE SALES-FOOD")</f>
        <v xml:space="preserve">          4153 - NON-TAXABLE SALES-FOOD</v>
      </c>
      <c r="C59" s="11"/>
      <c r="D59" s="2">
        <f>--134</f>
        <v>134</v>
      </c>
      <c r="E59" s="2"/>
      <c r="F59" s="22"/>
      <c r="G59" s="2"/>
      <c r="H59" s="2"/>
      <c r="I59" s="2"/>
      <c r="J59" s="22"/>
      <c r="K59" s="2"/>
      <c r="L59" s="2">
        <f t="shared" si="0"/>
        <v>134</v>
      </c>
      <c r="M59" s="2"/>
      <c r="N59" s="22">
        <f t="shared" si="1"/>
        <v>0</v>
      </c>
      <c r="O59" s="11"/>
      <c r="P59" s="2">
        <f>--244</f>
        <v>244</v>
      </c>
      <c r="Q59" s="2"/>
      <c r="R59" s="22"/>
      <c r="S59" s="2"/>
      <c r="T59" s="2"/>
      <c r="U59" s="2"/>
      <c r="V59" s="22"/>
      <c r="W59" s="2"/>
      <c r="X59" s="2">
        <f t="shared" si="2"/>
        <v>244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"4201", " - ", "SALES RETURN TAXABLE-NEW TEXT")</f>
        <v xml:space="preserve">          4201 - SALES RETURN TAXABLE-NEW TEXT</v>
      </c>
      <c r="C60" s="11"/>
      <c r="D60" s="2">
        <f>-2146.49</f>
        <v>-2146.4899999999998</v>
      </c>
      <c r="E60" s="2"/>
      <c r="F60" s="22"/>
      <c r="G60" s="2"/>
      <c r="H60" s="2"/>
      <c r="I60" s="2"/>
      <c r="J60" s="22"/>
      <c r="K60" s="2"/>
      <c r="L60" s="2">
        <f t="shared" si="0"/>
        <v>-2146.4899999999998</v>
      </c>
      <c r="M60" s="2"/>
      <c r="N60" s="22">
        <f t="shared" si="1"/>
        <v>0</v>
      </c>
      <c r="O60" s="11"/>
      <c r="P60" s="2">
        <f>-50664.23</f>
        <v>-50664.23</v>
      </c>
      <c r="Q60" s="2"/>
      <c r="R60" s="22"/>
      <c r="S60" s="2"/>
      <c r="T60" s="2"/>
      <c r="U60" s="2"/>
      <c r="V60" s="22"/>
      <c r="W60" s="2"/>
      <c r="X60" s="2">
        <f t="shared" si="2"/>
        <v>-50664.23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"4202", " - ", "SALES RETURN TAXABLE-USED TEXT")</f>
        <v xml:space="preserve">          4202 - SALES RETURN TAXABLE-USED TEXT</v>
      </c>
      <c r="C61" s="11"/>
      <c r="D61" s="2">
        <f>-1199.21</f>
        <v>-1199.21</v>
      </c>
      <c r="E61" s="2"/>
      <c r="F61" s="22"/>
      <c r="G61" s="2"/>
      <c r="H61" s="2"/>
      <c r="I61" s="2"/>
      <c r="J61" s="22"/>
      <c r="K61" s="2"/>
      <c r="L61" s="2">
        <f t="shared" si="0"/>
        <v>-1199.21</v>
      </c>
      <c r="M61" s="2"/>
      <c r="N61" s="22">
        <f t="shared" si="1"/>
        <v>0</v>
      </c>
      <c r="O61" s="11"/>
      <c r="P61" s="2">
        <f>-19735.51</f>
        <v>-19735.509999999998</v>
      </c>
      <c r="Q61" s="2"/>
      <c r="R61" s="22"/>
      <c r="S61" s="2"/>
      <c r="T61" s="2"/>
      <c r="U61" s="2"/>
      <c r="V61" s="22"/>
      <c r="W61" s="2"/>
      <c r="X61" s="2">
        <f t="shared" si="2"/>
        <v>-19735.509999999998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"4204", " - ", "SALES RETURN TAXABLE-DIGITAL T")</f>
        <v xml:space="preserve">          4204 - SALES RETURN TAXABLE-DIGITAL T</v>
      </c>
      <c r="C62" s="11"/>
      <c r="D62" s="2">
        <f>-132.25</f>
        <v>-132.25</v>
      </c>
      <c r="E62" s="2"/>
      <c r="F62" s="22"/>
      <c r="G62" s="2"/>
      <c r="H62" s="2"/>
      <c r="I62" s="2"/>
      <c r="J62" s="22"/>
      <c r="K62" s="2"/>
      <c r="L62" s="2">
        <f t="shared" si="0"/>
        <v>-132.25</v>
      </c>
      <c r="M62" s="2"/>
      <c r="N62" s="22">
        <f t="shared" si="1"/>
        <v>0</v>
      </c>
      <c r="O62" s="11"/>
      <c r="P62" s="2">
        <f>-1763.1</f>
        <v>-1763.1</v>
      </c>
      <c r="Q62" s="2"/>
      <c r="R62" s="22"/>
      <c r="S62" s="2"/>
      <c r="T62" s="2"/>
      <c r="U62" s="2"/>
      <c r="V62" s="22"/>
      <c r="W62" s="2"/>
      <c r="X62" s="2">
        <f t="shared" si="2"/>
        <v>-1763.1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"4213", " - ", "NON-TAXABLE SALES-TRADE BOOKS")</f>
        <v xml:space="preserve">          4213 - NON-TAXABLE SALES-TRADE BOOKS</v>
      </c>
      <c r="C63" s="11"/>
      <c r="D63" s="2">
        <f>-69.93</f>
        <v>-69.930000000000007</v>
      </c>
      <c r="E63" s="2"/>
      <c r="F63" s="22"/>
      <c r="G63" s="2"/>
      <c r="H63" s="2"/>
      <c r="I63" s="2"/>
      <c r="J63" s="22"/>
      <c r="K63" s="2"/>
      <c r="L63" s="2">
        <f t="shared" si="0"/>
        <v>-69.930000000000007</v>
      </c>
      <c r="M63" s="2"/>
      <c r="N63" s="22">
        <f t="shared" si="1"/>
        <v>0</v>
      </c>
      <c r="O63" s="11"/>
      <c r="P63" s="2">
        <f>-69.93</f>
        <v>-69.930000000000007</v>
      </c>
      <c r="Q63" s="2"/>
      <c r="R63" s="22"/>
      <c r="S63" s="2"/>
      <c r="T63" s="2"/>
      <c r="U63" s="2"/>
      <c r="V63" s="22"/>
      <c r="W63" s="2"/>
      <c r="X63" s="2">
        <f t="shared" si="2"/>
        <v>-69.930000000000007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"4226", " - ", "SALES RETURN TAXABLE-WRITING I")</f>
        <v xml:space="preserve">          4226 - SALES RETURN TAXABLE-WRITING I</v>
      </c>
      <c r="C64" s="11"/>
      <c r="D64" s="2">
        <f>0</f>
        <v>0</v>
      </c>
      <c r="E64" s="2"/>
      <c r="F64" s="22"/>
      <c r="G64" s="2"/>
      <c r="H64" s="2"/>
      <c r="I64" s="2"/>
      <c r="J64" s="22"/>
      <c r="K64" s="2"/>
      <c r="L64" s="2">
        <f t="shared" si="0"/>
        <v>0</v>
      </c>
      <c r="M64" s="2"/>
      <c r="N64" s="22">
        <f t="shared" si="1"/>
        <v>0</v>
      </c>
      <c r="O64" s="11"/>
      <c r="P64" s="2">
        <f>-34.23</f>
        <v>-34.229999999999997</v>
      </c>
      <c r="Q64" s="2"/>
      <c r="R64" s="22"/>
      <c r="S64" s="2"/>
      <c r="T64" s="2"/>
      <c r="U64" s="2"/>
      <c r="V64" s="22"/>
      <c r="W64" s="2"/>
      <c r="X64" s="2">
        <f t="shared" si="2"/>
        <v>-34.229999999999997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"4227", " - ", "SALES RETURN TAXABLE-SCHOOL SU")</f>
        <v xml:space="preserve">          4227 - SALES RETURN TAXABLE-SCHOOL SU</v>
      </c>
      <c r="C65" s="11"/>
      <c r="D65" s="2">
        <f>-19.05</f>
        <v>-19.05</v>
      </c>
      <c r="E65" s="2"/>
      <c r="F65" s="22"/>
      <c r="G65" s="2"/>
      <c r="H65" s="2"/>
      <c r="I65" s="2"/>
      <c r="J65" s="22"/>
      <c r="K65" s="2"/>
      <c r="L65" s="2">
        <f t="shared" si="0"/>
        <v>-19.05</v>
      </c>
      <c r="M65" s="2"/>
      <c r="N65" s="22">
        <f t="shared" si="1"/>
        <v>0</v>
      </c>
      <c r="O65" s="11"/>
      <c r="P65" s="2">
        <f>-781.73</f>
        <v>-781.73</v>
      </c>
      <c r="Q65" s="2"/>
      <c r="R65" s="22"/>
      <c r="S65" s="2"/>
      <c r="T65" s="2"/>
      <c r="U65" s="2"/>
      <c r="V65" s="22"/>
      <c r="W65" s="2"/>
      <c r="X65" s="2">
        <f t="shared" si="2"/>
        <v>-781.73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"4228", " - ", "SALES RETURN TAXABLE-ART/TECH")</f>
        <v xml:space="preserve">          4228 - SALES RETURN TAXABLE-ART/TECH</v>
      </c>
      <c r="C66" s="11"/>
      <c r="D66" s="2">
        <f>-10.71</f>
        <v>-10.71</v>
      </c>
      <c r="E66" s="2"/>
      <c r="F66" s="22"/>
      <c r="G66" s="2"/>
      <c r="H66" s="2"/>
      <c r="I66" s="2"/>
      <c r="J66" s="22"/>
      <c r="K66" s="2"/>
      <c r="L66" s="2">
        <f t="shared" si="0"/>
        <v>-10.71</v>
      </c>
      <c r="M66" s="2"/>
      <c r="N66" s="22">
        <f t="shared" si="1"/>
        <v>0</v>
      </c>
      <c r="O66" s="11"/>
      <c r="P66" s="2">
        <f>-12739.24</f>
        <v>-12739.24</v>
      </c>
      <c r="Q66" s="2"/>
      <c r="R66" s="22"/>
      <c r="S66" s="2"/>
      <c r="T66" s="2"/>
      <c r="U66" s="2"/>
      <c r="V66" s="22"/>
      <c r="W66" s="2"/>
      <c r="X66" s="2">
        <f t="shared" si="2"/>
        <v>-12739.24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"4240", " - ", "SALES RETURN TAXABLE-LOGO CLOT")</f>
        <v xml:space="preserve">          4240 - SALES RETURN TAXABLE-LOGO CLOT</v>
      </c>
      <c r="C67" s="11"/>
      <c r="D67" s="2">
        <f>-3542.64</f>
        <v>-3542.64</v>
      </c>
      <c r="E67" s="2"/>
      <c r="F67" s="22"/>
      <c r="G67" s="2"/>
      <c r="H67" s="2"/>
      <c r="I67" s="2"/>
      <c r="J67" s="22"/>
      <c r="K67" s="2"/>
      <c r="L67" s="2">
        <f t="shared" si="0"/>
        <v>-3542.64</v>
      </c>
      <c r="M67" s="2"/>
      <c r="N67" s="22">
        <f t="shared" si="1"/>
        <v>0</v>
      </c>
      <c r="O67" s="11"/>
      <c r="P67" s="2">
        <f>-31129.51</f>
        <v>-31129.51</v>
      </c>
      <c r="Q67" s="2"/>
      <c r="R67" s="22"/>
      <c r="S67" s="2"/>
      <c r="T67" s="2"/>
      <c r="U67" s="2"/>
      <c r="V67" s="22"/>
      <c r="W67" s="2"/>
      <c r="X67" s="2">
        <f t="shared" si="2"/>
        <v>-31129.51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"4241", " - ", "SALES RETURN TAXABLE-LOGO GIFT")</f>
        <v xml:space="preserve">          4241 - SALES RETURN TAXABLE-LOGO GIFT</v>
      </c>
      <c r="C68" s="11"/>
      <c r="D68" s="2">
        <f>-338.05</f>
        <v>-338.05</v>
      </c>
      <c r="E68" s="2"/>
      <c r="F68" s="22"/>
      <c r="G68" s="2"/>
      <c r="H68" s="2"/>
      <c r="I68" s="2"/>
      <c r="J68" s="22"/>
      <c r="K68" s="2"/>
      <c r="L68" s="2">
        <f t="shared" si="0"/>
        <v>-338.05</v>
      </c>
      <c r="M68" s="2"/>
      <c r="N68" s="22">
        <f t="shared" si="1"/>
        <v>0</v>
      </c>
      <c r="O68" s="11"/>
      <c r="P68" s="2">
        <f>-5295.52</f>
        <v>-5295.52</v>
      </c>
      <c r="Q68" s="2"/>
      <c r="R68" s="22"/>
      <c r="S68" s="2"/>
      <c r="T68" s="2"/>
      <c r="U68" s="2"/>
      <c r="V68" s="22"/>
      <c r="W68" s="2"/>
      <c r="X68" s="2">
        <f t="shared" si="2"/>
        <v>-5295.52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"4242", " - ", "SALES RETURN TAXABLE-EVERYDAY")</f>
        <v xml:space="preserve">          4242 - SALES RETURN TAXABLE-EVERYDAY</v>
      </c>
      <c r="C69" s="11"/>
      <c r="D69" s="2">
        <f>-44.96</f>
        <v>-44.96</v>
      </c>
      <c r="E69" s="2"/>
      <c r="F69" s="22"/>
      <c r="G69" s="2"/>
      <c r="H69" s="2"/>
      <c r="I69" s="2"/>
      <c r="J69" s="22"/>
      <c r="K69" s="2"/>
      <c r="L69" s="2">
        <f t="shared" si="0"/>
        <v>-44.96</v>
      </c>
      <c r="M69" s="2"/>
      <c r="N69" s="22">
        <f t="shared" si="1"/>
        <v>0</v>
      </c>
      <c r="O69" s="11"/>
      <c r="P69" s="2">
        <f>-1738.74</f>
        <v>-1738.74</v>
      </c>
      <c r="Q69" s="2"/>
      <c r="R69" s="22"/>
      <c r="S69" s="2"/>
      <c r="T69" s="2"/>
      <c r="U69" s="2"/>
      <c r="V69" s="22"/>
      <c r="W69" s="2"/>
      <c r="X69" s="2">
        <f t="shared" si="2"/>
        <v>-1738.74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"4243", " - ", "SALES RETURN TAXABLE-CARDS")</f>
        <v xml:space="preserve">          4243 - SALES RETURN TAXABLE-CARDS</v>
      </c>
      <c r="C70" s="11"/>
      <c r="D70" s="2">
        <f>-369.81</f>
        <v>-369.81</v>
      </c>
      <c r="E70" s="2"/>
      <c r="F70" s="22"/>
      <c r="G70" s="2"/>
      <c r="H70" s="2"/>
      <c r="I70" s="2"/>
      <c r="J70" s="22"/>
      <c r="K70" s="2"/>
      <c r="L70" s="2">
        <f t="shared" si="0"/>
        <v>-369.81</v>
      </c>
      <c r="M70" s="2"/>
      <c r="N70" s="22">
        <f t="shared" si="1"/>
        <v>0</v>
      </c>
      <c r="O70" s="11"/>
      <c r="P70" s="2">
        <f>-5369.6</f>
        <v>-5369.6</v>
      </c>
      <c r="Q70" s="2"/>
      <c r="R70" s="22"/>
      <c r="S70" s="2"/>
      <c r="T70" s="2"/>
      <c r="U70" s="2"/>
      <c r="V70" s="22"/>
      <c r="W70" s="2"/>
      <c r="X70" s="2">
        <f t="shared" si="2"/>
        <v>-5369.6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"4244", " - ", "SALES RETURN TAXABLE-ACCESSORI")</f>
        <v xml:space="preserve">          4244 - SALES RETURN TAXABLE-ACCESSORI</v>
      </c>
      <c r="C71" s="11"/>
      <c r="D71" s="2">
        <f>-9.99</f>
        <v>-9.99</v>
      </c>
      <c r="E71" s="2"/>
      <c r="F71" s="22"/>
      <c r="G71" s="2"/>
      <c r="H71" s="2"/>
      <c r="I71" s="2"/>
      <c r="J71" s="22"/>
      <c r="K71" s="2"/>
      <c r="L71" s="2">
        <f t="shared" si="0"/>
        <v>-9.99</v>
      </c>
      <c r="M71" s="2"/>
      <c r="N71" s="22">
        <f t="shared" si="1"/>
        <v>0</v>
      </c>
      <c r="O71" s="11"/>
      <c r="P71" s="2">
        <f>-994.84</f>
        <v>-994.84</v>
      </c>
      <c r="Q71" s="2"/>
      <c r="R71" s="22"/>
      <c r="S71" s="2"/>
      <c r="T71" s="2"/>
      <c r="U71" s="2"/>
      <c r="V71" s="22"/>
      <c r="W71" s="2"/>
      <c r="X71" s="2">
        <f t="shared" si="2"/>
        <v>-994.84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"4245", " - ", "SALES RETURN TAXABLE-SPECIAL O")</f>
        <v xml:space="preserve">          4245 - SALES RETURN TAXABLE-SPECIAL O</v>
      </c>
      <c r="C72" s="11"/>
      <c r="D72" s="2">
        <f>-7.98</f>
        <v>-7.98</v>
      </c>
      <c r="E72" s="2"/>
      <c r="F72" s="22"/>
      <c r="G72" s="2"/>
      <c r="H72" s="2"/>
      <c r="I72" s="2"/>
      <c r="J72" s="22"/>
      <c r="K72" s="2"/>
      <c r="L72" s="2">
        <f t="shared" si="0"/>
        <v>-7.98</v>
      </c>
      <c r="M72" s="2"/>
      <c r="N72" s="22">
        <f t="shared" si="1"/>
        <v>0</v>
      </c>
      <c r="O72" s="11"/>
      <c r="P72" s="2">
        <f>-11353.59</f>
        <v>-11353.59</v>
      </c>
      <c r="Q72" s="2"/>
      <c r="R72" s="22"/>
      <c r="S72" s="2"/>
      <c r="T72" s="2"/>
      <c r="U72" s="2"/>
      <c r="V72" s="22"/>
      <c r="W72" s="2"/>
      <c r="X72" s="2">
        <f t="shared" si="2"/>
        <v>-11353.59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"4301", " - ", "SALES RETURN NON TAXABLE-NEW T")</f>
        <v xml:space="preserve">          4301 - SALES RETURN NON TAXABLE-NEW T</v>
      </c>
      <c r="C73" s="11"/>
      <c r="D73" s="2">
        <f>-231.5</f>
        <v>-231.5</v>
      </c>
      <c r="E73" s="2"/>
      <c r="F73" s="22"/>
      <c r="G73" s="2"/>
      <c r="H73" s="2"/>
      <c r="I73" s="2"/>
      <c r="J73" s="22"/>
      <c r="K73" s="2"/>
      <c r="L73" s="2">
        <f t="shared" si="0"/>
        <v>-231.5</v>
      </c>
      <c r="M73" s="2"/>
      <c r="N73" s="22">
        <f t="shared" si="1"/>
        <v>0</v>
      </c>
      <c r="O73" s="11"/>
      <c r="P73" s="2">
        <f>-3237.29</f>
        <v>-3237.29</v>
      </c>
      <c r="Q73" s="2"/>
      <c r="R73" s="22"/>
      <c r="S73" s="2"/>
      <c r="T73" s="2"/>
      <c r="U73" s="2"/>
      <c r="V73" s="22"/>
      <c r="W73" s="2"/>
      <c r="X73" s="2">
        <f t="shared" si="2"/>
        <v>-3237.29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"4302", " - ", "SALES RETURN NON TAXABLE-TEXT")</f>
        <v xml:space="preserve">          4302 - SALES RETURN NON TAXABLE-TEXT</v>
      </c>
      <c r="C74" s="11"/>
      <c r="D74" s="2">
        <f>-70.32</f>
        <v>-70.319999999999993</v>
      </c>
      <c r="E74" s="2"/>
      <c r="F74" s="22"/>
      <c r="G74" s="2"/>
      <c r="H74" s="2"/>
      <c r="I74" s="2"/>
      <c r="J74" s="22"/>
      <c r="K74" s="2"/>
      <c r="L74" s="2">
        <f t="shared" si="0"/>
        <v>-70.319999999999993</v>
      </c>
      <c r="M74" s="2"/>
      <c r="N74" s="22">
        <f t="shared" si="1"/>
        <v>0</v>
      </c>
      <c r="O74" s="11"/>
      <c r="P74" s="2">
        <f>-2073.48</f>
        <v>-2073.48</v>
      </c>
      <c r="Q74" s="2"/>
      <c r="R74" s="22"/>
      <c r="S74" s="2"/>
      <c r="T74" s="2"/>
      <c r="U74" s="2"/>
      <c r="V74" s="22"/>
      <c r="W74" s="2"/>
      <c r="X74" s="2">
        <f t="shared" si="2"/>
        <v>-2073.48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"4304", " - ", "SALES RETURN NON TAXABLE-DIGIT")</f>
        <v xml:space="preserve">          4304 - SALES RETURN NON TAXABLE-DIGIT</v>
      </c>
      <c r="C75" s="11"/>
      <c r="D75" s="2">
        <f>-2172.95</f>
        <v>-2172.9499999999998</v>
      </c>
      <c r="E75" s="2"/>
      <c r="F75" s="22"/>
      <c r="G75" s="2"/>
      <c r="H75" s="2"/>
      <c r="I75" s="2"/>
      <c r="J75" s="22"/>
      <c r="K75" s="2"/>
      <c r="L75" s="2">
        <f t="shared" si="0"/>
        <v>-2172.9499999999998</v>
      </c>
      <c r="M75" s="2"/>
      <c r="N75" s="22">
        <f t="shared" si="1"/>
        <v>0</v>
      </c>
      <c r="O75" s="11"/>
      <c r="P75" s="2">
        <f>-27268.72</f>
        <v>-27268.720000000001</v>
      </c>
      <c r="Q75" s="2"/>
      <c r="R75" s="22"/>
      <c r="S75" s="2"/>
      <c r="T75" s="2"/>
      <c r="U75" s="2"/>
      <c r="V75" s="22"/>
      <c r="W75" s="2"/>
      <c r="X75" s="2">
        <f t="shared" si="2"/>
        <v>-27268.720000000001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"4340", " - ", "SALES RETURN NON TAXABLE-LOGO")</f>
        <v xml:space="preserve">          4340 - SALES RETURN NON TAXABLE-LOGO</v>
      </c>
      <c r="C76" s="11"/>
      <c r="D76" s="2">
        <f>-76.9</f>
        <v>-76.900000000000006</v>
      </c>
      <c r="E76" s="2"/>
      <c r="F76" s="22"/>
      <c r="G76" s="2"/>
      <c r="H76" s="2"/>
      <c r="I76" s="2"/>
      <c r="J76" s="22"/>
      <c r="K76" s="2"/>
      <c r="L76" s="2">
        <f t="shared" si="0"/>
        <v>-76.900000000000006</v>
      </c>
      <c r="M76" s="2"/>
      <c r="N76" s="22">
        <f t="shared" si="1"/>
        <v>0</v>
      </c>
      <c r="O76" s="11"/>
      <c r="P76" s="2">
        <f>-2292.84</f>
        <v>-2292.84</v>
      </c>
      <c r="Q76" s="2"/>
      <c r="R76" s="22"/>
      <c r="S76" s="2"/>
      <c r="T76" s="2"/>
      <c r="U76" s="2"/>
      <c r="V76" s="22"/>
      <c r="W76" s="2"/>
      <c r="X76" s="2">
        <f t="shared" si="2"/>
        <v>-2292.84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"4341", " - ", "SALES RETURN NON TAXABLE-LOGO")</f>
        <v xml:space="preserve">          4341 - SALES RETURN NON TAXABLE-LOGO</v>
      </c>
      <c r="C77" s="11"/>
      <c r="D77" s="2">
        <f t="shared" ref="D77:D78" si="8">0</f>
        <v>0</v>
      </c>
      <c r="E77" s="2"/>
      <c r="F77" s="22"/>
      <c r="G77" s="2"/>
      <c r="H77" s="2"/>
      <c r="I77" s="2"/>
      <c r="J77" s="22"/>
      <c r="K77" s="2"/>
      <c r="L77" s="2">
        <f t="shared" si="0"/>
        <v>0</v>
      </c>
      <c r="M77" s="2"/>
      <c r="N77" s="22">
        <f t="shared" si="1"/>
        <v>0</v>
      </c>
      <c r="O77" s="11"/>
      <c r="P77" s="2">
        <f>-362.64</f>
        <v>-362.64</v>
      </c>
      <c r="Q77" s="2"/>
      <c r="R77" s="22"/>
      <c r="S77" s="2"/>
      <c r="T77" s="2"/>
      <c r="U77" s="2"/>
      <c r="V77" s="22"/>
      <c r="W77" s="2"/>
      <c r="X77" s="2">
        <f t="shared" si="2"/>
        <v>-362.64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"4342", " - ", "SALES RETURN NON TAXABLE-EVERY")</f>
        <v xml:space="preserve">          4342 - SALES RETURN NON TAXABLE-EVERY</v>
      </c>
      <c r="C78" s="11"/>
      <c r="D78" s="2">
        <f t="shared" si="8"/>
        <v>0</v>
      </c>
      <c r="E78" s="2"/>
      <c r="F78" s="22"/>
      <c r="G78" s="2"/>
      <c r="H78" s="2"/>
      <c r="I78" s="2"/>
      <c r="J78" s="22"/>
      <c r="K78" s="2"/>
      <c r="L78" s="2">
        <f t="shared" si="0"/>
        <v>0</v>
      </c>
      <c r="M78" s="2"/>
      <c r="N78" s="22">
        <f t="shared" si="1"/>
        <v>0</v>
      </c>
      <c r="O78" s="11"/>
      <c r="P78" s="2">
        <f>-118.7</f>
        <v>-118.7</v>
      </c>
      <c r="Q78" s="2"/>
      <c r="R78" s="22"/>
      <c r="S78" s="2"/>
      <c r="T78" s="2"/>
      <c r="U78" s="2"/>
      <c r="V78" s="22"/>
      <c r="W78" s="2"/>
      <c r="X78" s="2">
        <f t="shared" si="2"/>
        <v>-118.7</v>
      </c>
      <c r="Y78" s="2"/>
      <c r="Z78" s="22">
        <f t="shared" si="3"/>
        <v>0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collapsed="1" x14ac:dyDescent="0.25">
      <c r="A80" s="10"/>
      <c r="B80" s="26" t="s">
        <v>8</v>
      </c>
      <c r="C80" s="10"/>
      <c r="D80" s="4">
        <f>SUM(OSRRefD16x_0)</f>
        <v>135459.13999999998</v>
      </c>
      <c r="E80" s="4"/>
      <c r="F80" s="12">
        <f t="shared" ref="F80:F117" si="9">IF(D$12=0,0,D80/D$12)</f>
        <v>0.66737138694754961</v>
      </c>
      <c r="G80" s="4"/>
      <c r="H80" s="4">
        <f>SUM(OSRRefH16x_0)</f>
        <v>389910</v>
      </c>
      <c r="I80" s="4"/>
      <c r="J80" s="12">
        <f t="shared" ref="J80:J117" si="10">IF(H$12=0,0,H80/H$12)</f>
        <v>0.49942872659828463</v>
      </c>
      <c r="K80" s="4"/>
      <c r="L80" s="4">
        <f t="shared" ref="L80:L117" si="11">+D80-H80</f>
        <v>-254450.86000000002</v>
      </c>
      <c r="M80" s="4"/>
      <c r="N80" s="12">
        <f t="shared" ref="N80:N117" si="12">IF(H80=0,0,L80/H80)</f>
        <v>-0.65258869995640023</v>
      </c>
      <c r="O80" s="10"/>
      <c r="P80" s="4">
        <f>SUM(OSRRefP16x_0)</f>
        <v>2650550.8700000006</v>
      </c>
      <c r="Q80" s="4"/>
      <c r="R80" s="12">
        <f t="shared" ref="R80:R117" si="13">IF(P$12=0,0,P80/P$12)</f>
        <v>0.64916764944305017</v>
      </c>
      <c r="S80" s="4"/>
      <c r="T80" s="4">
        <f>SUM(OSRRefT16x_0)</f>
        <v>4560265</v>
      </c>
      <c r="U80" s="4"/>
      <c r="V80" s="12">
        <f t="shared" ref="V80:V117" si="14">IF(T$12=0,0,T80/T$12)</f>
        <v>0.59493735125799763</v>
      </c>
      <c r="W80" s="4"/>
      <c r="X80" s="4">
        <f t="shared" ref="X80:X117" si="15">+P80-T80</f>
        <v>-1909714.1299999994</v>
      </c>
      <c r="Y80" s="4"/>
      <c r="Z80" s="12">
        <f t="shared" ref="Z80:Z117" si="16">IF(T80=0,0,X80/T80)</f>
        <v>-0.4187726217664981</v>
      </c>
    </row>
    <row r="81" spans="1:26" s="24" customFormat="1" hidden="1" outlineLevel="1" x14ac:dyDescent="0.25">
      <c r="A81" s="51"/>
      <c r="B81" s="11" t="str">
        <f>CONCATENATE("          ", "5000", " - ", "PURCHASES @ COST")</f>
        <v xml:space="preserve">          5000 - PURCHASES @ COST</v>
      </c>
      <c r="C81" s="11"/>
      <c r="D81" s="2"/>
      <c r="E81" s="2"/>
      <c r="F81" s="22">
        <f t="shared" si="9"/>
        <v>0</v>
      </c>
      <c r="G81" s="2"/>
      <c r="H81" s="2">
        <v>389910</v>
      </c>
      <c r="I81" s="2"/>
      <c r="J81" s="22">
        <f t="shared" si="10"/>
        <v>0.49942872659828463</v>
      </c>
      <c r="K81" s="2"/>
      <c r="L81" s="2">
        <f t="shared" si="11"/>
        <v>-389910</v>
      </c>
      <c r="M81" s="2"/>
      <c r="N81" s="22">
        <f t="shared" si="12"/>
        <v>-1</v>
      </c>
      <c r="O81" s="11"/>
      <c r="P81" s="2"/>
      <c r="Q81" s="2"/>
      <c r="R81" s="22">
        <f t="shared" si="13"/>
        <v>0</v>
      </c>
      <c r="S81" s="2"/>
      <c r="T81" s="2">
        <v>4560265</v>
      </c>
      <c r="U81" s="2"/>
      <c r="V81" s="22">
        <f t="shared" si="14"/>
        <v>0.59493735125799763</v>
      </c>
      <c r="W81" s="2"/>
      <c r="X81" s="2">
        <f t="shared" si="15"/>
        <v>-4560265</v>
      </c>
      <c r="Y81" s="2"/>
      <c r="Z81" s="22">
        <f t="shared" si="16"/>
        <v>-1</v>
      </c>
    </row>
    <row r="82" spans="1:26" s="24" customFormat="1" hidden="1" outlineLevel="1" x14ac:dyDescent="0.25">
      <c r="A82" s="51"/>
      <c r="B82" s="11" t="str">
        <f>CONCATENATE("          ", "5001", " - ", "PURCHASES @ COST-NEW TEXT")</f>
        <v xml:space="preserve">          5001 - PURCHASES @ COST-NEW TEXT</v>
      </c>
      <c r="C82" s="11"/>
      <c r="D82" s="2">
        <v>-332593.57</v>
      </c>
      <c r="E82" s="2"/>
      <c r="F82" s="22">
        <f t="shared" si="9"/>
        <v>-1.6386006296860953</v>
      </c>
      <c r="G82" s="2"/>
      <c r="H82" s="2"/>
      <c r="I82" s="2"/>
      <c r="J82" s="22">
        <f t="shared" si="10"/>
        <v>0</v>
      </c>
      <c r="K82" s="2"/>
      <c r="L82" s="2">
        <f t="shared" si="11"/>
        <v>-332593.57</v>
      </c>
      <c r="M82" s="2"/>
      <c r="N82" s="22">
        <f t="shared" si="12"/>
        <v>0</v>
      </c>
      <c r="O82" s="11"/>
      <c r="P82" s="2">
        <v>1326415.6399999999</v>
      </c>
      <c r="Q82" s="2"/>
      <c r="R82" s="22">
        <f t="shared" si="13"/>
        <v>0.32486308146325027</v>
      </c>
      <c r="S82" s="2"/>
      <c r="T82" s="2"/>
      <c r="U82" s="2"/>
      <c r="V82" s="22">
        <f t="shared" si="14"/>
        <v>0</v>
      </c>
      <c r="W82" s="2"/>
      <c r="X82" s="2">
        <f t="shared" si="15"/>
        <v>1326415.6399999999</v>
      </c>
      <c r="Y82" s="2"/>
      <c r="Z82" s="22">
        <f t="shared" si="16"/>
        <v>0</v>
      </c>
    </row>
    <row r="83" spans="1:26" s="24" customFormat="1" hidden="1" outlineLevel="1" x14ac:dyDescent="0.25">
      <c r="A83" s="51"/>
      <c r="B83" s="11" t="str">
        <f>CONCATENATE("          ", "5002", " - ", "PURCHASES @ COST-USED TEXT")</f>
        <v xml:space="preserve">          5002 - PURCHASES @ COST-USED TEXT</v>
      </c>
      <c r="C83" s="11"/>
      <c r="D83" s="2">
        <v>121987.94000000002</v>
      </c>
      <c r="E83" s="2"/>
      <c r="F83" s="22">
        <f t="shared" si="9"/>
        <v>0.60100234438720401</v>
      </c>
      <c r="G83" s="2"/>
      <c r="H83" s="2"/>
      <c r="I83" s="2"/>
      <c r="J83" s="22">
        <f t="shared" si="10"/>
        <v>0</v>
      </c>
      <c r="K83" s="2"/>
      <c r="L83" s="2">
        <f t="shared" si="11"/>
        <v>121987.94000000002</v>
      </c>
      <c r="M83" s="2"/>
      <c r="N83" s="22">
        <f t="shared" si="12"/>
        <v>0</v>
      </c>
      <c r="O83" s="11"/>
      <c r="P83" s="2">
        <v>382324.22000000003</v>
      </c>
      <c r="Q83" s="2"/>
      <c r="R83" s="22">
        <f t="shared" si="13"/>
        <v>9.3638087852487645E-2</v>
      </c>
      <c r="S83" s="2"/>
      <c r="T83" s="2"/>
      <c r="U83" s="2"/>
      <c r="V83" s="22">
        <f t="shared" si="14"/>
        <v>0</v>
      </c>
      <c r="W83" s="2"/>
      <c r="X83" s="2">
        <f t="shared" si="15"/>
        <v>382324.22000000003</v>
      </c>
      <c r="Y83" s="2"/>
      <c r="Z83" s="22">
        <f t="shared" si="16"/>
        <v>0</v>
      </c>
    </row>
    <row r="84" spans="1:26" s="24" customFormat="1" hidden="1" outlineLevel="1" x14ac:dyDescent="0.25">
      <c r="A84" s="51"/>
      <c r="B84" s="11" t="str">
        <f>CONCATENATE("          ", "5003", " - ", "PURCHASES @ COST-RENTAL TEXT")</f>
        <v xml:space="preserve">          5003 - PURCHASES @ COST-RENTAL TEXT</v>
      </c>
      <c r="C84" s="11"/>
      <c r="D84" s="2"/>
      <c r="E84" s="2"/>
      <c r="F84" s="22">
        <f t="shared" si="9"/>
        <v>0</v>
      </c>
      <c r="G84" s="2"/>
      <c r="H84" s="2"/>
      <c r="I84" s="2"/>
      <c r="J84" s="22">
        <f t="shared" si="10"/>
        <v>0</v>
      </c>
      <c r="K84" s="2"/>
      <c r="L84" s="2">
        <f t="shared" si="11"/>
        <v>0</v>
      </c>
      <c r="M84" s="2"/>
      <c r="N84" s="22">
        <f t="shared" si="12"/>
        <v>0</v>
      </c>
      <c r="O84" s="11"/>
      <c r="P84" s="2">
        <v>32.520000000000003</v>
      </c>
      <c r="Q84" s="2"/>
      <c r="R84" s="22">
        <f t="shared" si="13"/>
        <v>7.9647337460412484E-6</v>
      </c>
      <c r="S84" s="2"/>
      <c r="T84" s="2"/>
      <c r="U84" s="2"/>
      <c r="V84" s="22">
        <f t="shared" si="14"/>
        <v>0</v>
      </c>
      <c r="W84" s="2"/>
      <c r="X84" s="2">
        <f t="shared" si="15"/>
        <v>32.520000000000003</v>
      </c>
      <c r="Y84" s="2"/>
      <c r="Z84" s="22">
        <f t="shared" si="16"/>
        <v>0</v>
      </c>
    </row>
    <row r="85" spans="1:26" s="24" customFormat="1" hidden="1" outlineLevel="1" x14ac:dyDescent="0.25">
      <c r="A85" s="51"/>
      <c r="B85" s="11" t="str">
        <f>CONCATENATE("          ", "5004", " - ", "PURCHASES @ COST-DIGITAL TEXT")</f>
        <v xml:space="preserve">          5004 - PURCHASES @ COST-DIGITAL TEXT</v>
      </c>
      <c r="C85" s="11"/>
      <c r="D85" s="2">
        <v>3282.02</v>
      </c>
      <c r="E85" s="2"/>
      <c r="F85" s="22">
        <f t="shared" si="9"/>
        <v>1.6169645247929354E-2</v>
      </c>
      <c r="G85" s="2"/>
      <c r="H85" s="2"/>
      <c r="I85" s="2"/>
      <c r="J85" s="22">
        <f t="shared" si="10"/>
        <v>0</v>
      </c>
      <c r="K85" s="2"/>
      <c r="L85" s="2">
        <f t="shared" si="11"/>
        <v>3282.02</v>
      </c>
      <c r="M85" s="2"/>
      <c r="N85" s="22">
        <f t="shared" si="12"/>
        <v>0</v>
      </c>
      <c r="O85" s="11"/>
      <c r="P85" s="2">
        <v>220008.58000000002</v>
      </c>
      <c r="Q85" s="2"/>
      <c r="R85" s="22">
        <f t="shared" si="13"/>
        <v>5.3884064008137014E-2</v>
      </c>
      <c r="S85" s="2"/>
      <c r="T85" s="2"/>
      <c r="U85" s="2"/>
      <c r="V85" s="22">
        <f t="shared" si="14"/>
        <v>0</v>
      </c>
      <c r="W85" s="2"/>
      <c r="X85" s="2">
        <f t="shared" si="15"/>
        <v>220008.58000000002</v>
      </c>
      <c r="Y85" s="2"/>
      <c r="Z85" s="22">
        <f t="shared" si="16"/>
        <v>0</v>
      </c>
    </row>
    <row r="86" spans="1:26" s="24" customFormat="1" hidden="1" outlineLevel="1" x14ac:dyDescent="0.25">
      <c r="A86" s="51"/>
      <c r="B86" s="11" t="str">
        <f>CONCATENATE("          ", "5011", " - ", "PURCHASES @ COST-NO VALUE TEXT")</f>
        <v xml:space="preserve">          5011 - PURCHASES @ COST-NO VALUE TEXT</v>
      </c>
      <c r="C86" s="11"/>
      <c r="D86" s="2"/>
      <c r="E86" s="2"/>
      <c r="F86" s="22">
        <f t="shared" si="9"/>
        <v>0</v>
      </c>
      <c r="G86" s="2"/>
      <c r="H86" s="2"/>
      <c r="I86" s="2"/>
      <c r="J86" s="22">
        <f t="shared" si="10"/>
        <v>0</v>
      </c>
      <c r="K86" s="2"/>
      <c r="L86" s="2">
        <f t="shared" si="11"/>
        <v>0</v>
      </c>
      <c r="M86" s="2"/>
      <c r="N86" s="22">
        <f t="shared" si="12"/>
        <v>0</v>
      </c>
      <c r="O86" s="11"/>
      <c r="P86" s="2">
        <v>67.17</v>
      </c>
      <c r="Q86" s="2"/>
      <c r="R86" s="22">
        <f t="shared" si="13"/>
        <v>1.6451142857367485E-5</v>
      </c>
      <c r="S86" s="2"/>
      <c r="T86" s="2"/>
      <c r="U86" s="2"/>
      <c r="V86" s="22">
        <f t="shared" si="14"/>
        <v>0</v>
      </c>
      <c r="W86" s="2"/>
      <c r="X86" s="2">
        <f t="shared" si="15"/>
        <v>67.17</v>
      </c>
      <c r="Y86" s="2"/>
      <c r="Z86" s="22">
        <f t="shared" si="16"/>
        <v>0</v>
      </c>
    </row>
    <row r="87" spans="1:26" s="24" customFormat="1" hidden="1" outlineLevel="1" x14ac:dyDescent="0.25">
      <c r="A87" s="51"/>
      <c r="B87" s="11" t="str">
        <f>CONCATENATE("          ", "5013", " - ", "PURCHASES @ COST-TRADE BOOKS")</f>
        <v xml:space="preserve">          5013 - PURCHASES @ COST-TRADE BOOKS</v>
      </c>
      <c r="C87" s="11"/>
      <c r="D87" s="2">
        <v>305.11</v>
      </c>
      <c r="E87" s="2"/>
      <c r="F87" s="22">
        <f t="shared" si="9"/>
        <v>1.5031963429825916E-3</v>
      </c>
      <c r="G87" s="2"/>
      <c r="H87" s="2"/>
      <c r="I87" s="2"/>
      <c r="J87" s="22">
        <f t="shared" si="10"/>
        <v>0</v>
      </c>
      <c r="K87" s="2"/>
      <c r="L87" s="2">
        <f t="shared" si="11"/>
        <v>305.11</v>
      </c>
      <c r="M87" s="2"/>
      <c r="N87" s="22">
        <f t="shared" si="12"/>
        <v>0</v>
      </c>
      <c r="O87" s="11"/>
      <c r="P87" s="2">
        <v>5962.09</v>
      </c>
      <c r="Q87" s="2"/>
      <c r="R87" s="22">
        <f t="shared" si="13"/>
        <v>1.4602232293952971E-3</v>
      </c>
      <c r="S87" s="2"/>
      <c r="T87" s="2"/>
      <c r="U87" s="2"/>
      <c r="V87" s="22">
        <f t="shared" si="14"/>
        <v>0</v>
      </c>
      <c r="W87" s="2"/>
      <c r="X87" s="2">
        <f t="shared" si="15"/>
        <v>5962.09</v>
      </c>
      <c r="Y87" s="2"/>
      <c r="Z87" s="22">
        <f t="shared" si="16"/>
        <v>0</v>
      </c>
    </row>
    <row r="88" spans="1:26" s="24" customFormat="1" hidden="1" outlineLevel="1" x14ac:dyDescent="0.25">
      <c r="A88" s="51"/>
      <c r="B88" s="11" t="str">
        <f>CONCATENATE("          ", "5014", " - ", "PURCHASES @ COST-REMAINDERS")</f>
        <v xml:space="preserve">          5014 - PURCHASES @ COST-REMAINDERS</v>
      </c>
      <c r="C88" s="11"/>
      <c r="D88" s="2">
        <v>21.16</v>
      </c>
      <c r="E88" s="2"/>
      <c r="F88" s="22">
        <f t="shared" si="9"/>
        <v>1.0424972835210789E-4</v>
      </c>
      <c r="G88" s="2"/>
      <c r="H88" s="2"/>
      <c r="I88" s="2"/>
      <c r="J88" s="22">
        <f t="shared" si="10"/>
        <v>0</v>
      </c>
      <c r="K88" s="2"/>
      <c r="L88" s="2">
        <f t="shared" si="11"/>
        <v>21.16</v>
      </c>
      <c r="M88" s="2"/>
      <c r="N88" s="22">
        <f t="shared" si="12"/>
        <v>0</v>
      </c>
      <c r="O88" s="11"/>
      <c r="P88" s="2">
        <v>111.57</v>
      </c>
      <c r="Q88" s="2"/>
      <c r="R88" s="22">
        <f t="shared" si="13"/>
        <v>2.7325502584434868E-5</v>
      </c>
      <c r="S88" s="2"/>
      <c r="T88" s="2"/>
      <c r="U88" s="2"/>
      <c r="V88" s="22">
        <f t="shared" si="14"/>
        <v>0</v>
      </c>
      <c r="W88" s="2"/>
      <c r="X88" s="2">
        <f t="shared" si="15"/>
        <v>111.57</v>
      </c>
      <c r="Y88" s="2"/>
      <c r="Z88" s="22">
        <f t="shared" si="16"/>
        <v>0</v>
      </c>
    </row>
    <row r="89" spans="1:26" s="24" customFormat="1" hidden="1" outlineLevel="1" x14ac:dyDescent="0.25">
      <c r="A89" s="51"/>
      <c r="B89" s="11" t="str">
        <f>CONCATENATE("          ", "5018", " - ", "PURCHASES @ COST-STUDY GUIDES")</f>
        <v xml:space="preserve">          5018 - PURCHASES @ COST-STUDY GUIDES</v>
      </c>
      <c r="C89" s="11"/>
      <c r="D89" s="2"/>
      <c r="E89" s="2"/>
      <c r="F89" s="22">
        <f t="shared" si="9"/>
        <v>0</v>
      </c>
      <c r="G89" s="2"/>
      <c r="H89" s="2"/>
      <c r="I89" s="2"/>
      <c r="J89" s="22">
        <f t="shared" si="10"/>
        <v>0</v>
      </c>
      <c r="K89" s="2"/>
      <c r="L89" s="2">
        <f t="shared" si="11"/>
        <v>0</v>
      </c>
      <c r="M89" s="2"/>
      <c r="N89" s="22">
        <f t="shared" si="12"/>
        <v>0</v>
      </c>
      <c r="O89" s="11"/>
      <c r="P89" s="2">
        <v>522.34</v>
      </c>
      <c r="Q89" s="2"/>
      <c r="R89" s="22">
        <f t="shared" si="13"/>
        <v>1.2793047432063917E-4</v>
      </c>
      <c r="S89" s="2"/>
      <c r="T89" s="2"/>
      <c r="U89" s="2"/>
      <c r="V89" s="22">
        <f t="shared" si="14"/>
        <v>0</v>
      </c>
      <c r="W89" s="2"/>
      <c r="X89" s="2">
        <f t="shared" si="15"/>
        <v>522.34</v>
      </c>
      <c r="Y89" s="2"/>
      <c r="Z89" s="22">
        <f t="shared" si="16"/>
        <v>0</v>
      </c>
    </row>
    <row r="90" spans="1:26" s="24" customFormat="1" hidden="1" outlineLevel="1" x14ac:dyDescent="0.25">
      <c r="A90" s="51"/>
      <c r="B90" s="11" t="str">
        <f>CONCATENATE("          ", "5025", " - ", "PURCHASES @ COST-TEST FORMS")</f>
        <v xml:space="preserve">          5025 - PURCHASES @ COST-TEST FORMS</v>
      </c>
      <c r="C90" s="11"/>
      <c r="D90" s="2"/>
      <c r="E90" s="2"/>
      <c r="F90" s="22">
        <f t="shared" si="9"/>
        <v>0</v>
      </c>
      <c r="G90" s="2"/>
      <c r="H90" s="2"/>
      <c r="I90" s="2"/>
      <c r="J90" s="22">
        <f t="shared" si="10"/>
        <v>0</v>
      </c>
      <c r="K90" s="2"/>
      <c r="L90" s="2">
        <f t="shared" si="11"/>
        <v>0</v>
      </c>
      <c r="M90" s="2"/>
      <c r="N90" s="22">
        <f t="shared" si="12"/>
        <v>0</v>
      </c>
      <c r="O90" s="11"/>
      <c r="P90" s="2">
        <v>599.29</v>
      </c>
      <c r="Q90" s="2"/>
      <c r="R90" s="22">
        <f t="shared" si="13"/>
        <v>1.4677691533410391E-4</v>
      </c>
      <c r="S90" s="2"/>
      <c r="T90" s="2"/>
      <c r="U90" s="2"/>
      <c r="V90" s="22">
        <f t="shared" si="14"/>
        <v>0</v>
      </c>
      <c r="W90" s="2"/>
      <c r="X90" s="2">
        <f t="shared" si="15"/>
        <v>599.29</v>
      </c>
      <c r="Y90" s="2"/>
      <c r="Z90" s="22">
        <f t="shared" si="16"/>
        <v>0</v>
      </c>
    </row>
    <row r="91" spans="1:26" s="24" customFormat="1" hidden="1" outlineLevel="1" x14ac:dyDescent="0.25">
      <c r="A91" s="51"/>
      <c r="B91" s="11" t="str">
        <f>CONCATENATE("          ", "5026", " - ", "PURCHASES @ COST-WRITING INSTR")</f>
        <v xml:space="preserve">          5026 - PURCHASES @ COST-WRITING INSTR</v>
      </c>
      <c r="C91" s="11"/>
      <c r="D91" s="2"/>
      <c r="E91" s="2"/>
      <c r="F91" s="22">
        <f t="shared" si="9"/>
        <v>0</v>
      </c>
      <c r="G91" s="2"/>
      <c r="H91" s="2"/>
      <c r="I91" s="2"/>
      <c r="J91" s="22">
        <f t="shared" si="10"/>
        <v>0</v>
      </c>
      <c r="K91" s="2"/>
      <c r="L91" s="2">
        <f t="shared" si="11"/>
        <v>0</v>
      </c>
      <c r="M91" s="2"/>
      <c r="N91" s="22">
        <f t="shared" si="12"/>
        <v>0</v>
      </c>
      <c r="O91" s="11"/>
      <c r="P91" s="2">
        <v>374.91</v>
      </c>
      <c r="Q91" s="2"/>
      <c r="R91" s="22">
        <f t="shared" si="13"/>
        <v>9.1822211830514273E-5</v>
      </c>
      <c r="S91" s="2"/>
      <c r="T91" s="2"/>
      <c r="U91" s="2"/>
      <c r="V91" s="22">
        <f t="shared" si="14"/>
        <v>0</v>
      </c>
      <c r="W91" s="2"/>
      <c r="X91" s="2">
        <f t="shared" si="15"/>
        <v>374.91</v>
      </c>
      <c r="Y91" s="2"/>
      <c r="Z91" s="22">
        <f t="shared" si="16"/>
        <v>0</v>
      </c>
    </row>
    <row r="92" spans="1:26" s="24" customFormat="1" hidden="1" outlineLevel="1" x14ac:dyDescent="0.25">
      <c r="A92" s="51"/>
      <c r="B92" s="11" t="str">
        <f>CONCATENATE("          ", "5027", " - ", "PURCHASES @ COST-SCHOOL SUPPLI")</f>
        <v xml:space="preserve">          5027 - PURCHASES @ COST-SCHOOL SUPPLI</v>
      </c>
      <c r="C92" s="11"/>
      <c r="D92" s="2"/>
      <c r="E92" s="2"/>
      <c r="F92" s="22">
        <f t="shared" si="9"/>
        <v>0</v>
      </c>
      <c r="G92" s="2"/>
      <c r="H92" s="2"/>
      <c r="I92" s="2"/>
      <c r="J92" s="22">
        <f t="shared" si="10"/>
        <v>0</v>
      </c>
      <c r="K92" s="2"/>
      <c r="L92" s="2">
        <f t="shared" si="11"/>
        <v>0</v>
      </c>
      <c r="M92" s="2"/>
      <c r="N92" s="22">
        <f t="shared" si="12"/>
        <v>0</v>
      </c>
      <c r="O92" s="11"/>
      <c r="P92" s="2">
        <v>19071.350000000002</v>
      </c>
      <c r="Q92" s="2"/>
      <c r="R92" s="22">
        <f t="shared" si="13"/>
        <v>4.6709171256938426E-3</v>
      </c>
      <c r="S92" s="2"/>
      <c r="T92" s="2"/>
      <c r="U92" s="2"/>
      <c r="V92" s="22">
        <f t="shared" si="14"/>
        <v>0</v>
      </c>
      <c r="W92" s="2"/>
      <c r="X92" s="2">
        <f t="shared" si="15"/>
        <v>19071.350000000002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"5028", " - ", "PURCHASES @ COST-ART/TECH")</f>
        <v xml:space="preserve">          5028 - PURCHASES @ COST-ART/TECH</v>
      </c>
      <c r="C93" s="11"/>
      <c r="D93" s="2">
        <v>833.13</v>
      </c>
      <c r="E93" s="2"/>
      <c r="F93" s="22">
        <f t="shared" si="9"/>
        <v>4.1046113507557484E-3</v>
      </c>
      <c r="G93" s="2"/>
      <c r="H93" s="2"/>
      <c r="I93" s="2"/>
      <c r="J93" s="22">
        <f t="shared" si="10"/>
        <v>0</v>
      </c>
      <c r="K93" s="2"/>
      <c r="L93" s="2">
        <f t="shared" si="11"/>
        <v>833.13</v>
      </c>
      <c r="M93" s="2"/>
      <c r="N93" s="22">
        <f t="shared" si="12"/>
        <v>0</v>
      </c>
      <c r="O93" s="11"/>
      <c r="P93" s="2">
        <v>42191.58</v>
      </c>
      <c r="Q93" s="2"/>
      <c r="R93" s="22">
        <f t="shared" si="13"/>
        <v>1.0333477891291482E-2</v>
      </c>
      <c r="S93" s="2"/>
      <c r="T93" s="2"/>
      <c r="U93" s="2"/>
      <c r="V93" s="22">
        <f t="shared" si="14"/>
        <v>0</v>
      </c>
      <c r="W93" s="2"/>
      <c r="X93" s="2">
        <f t="shared" si="15"/>
        <v>42191.58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"5031", " - ", "PURCHASES @ COST-FOOD")</f>
        <v xml:space="preserve">          5031 - PURCHASES @ COST-FOOD</v>
      </c>
      <c r="C94" s="11"/>
      <c r="D94" s="2">
        <v>271.45999999999998</v>
      </c>
      <c r="E94" s="2"/>
      <c r="F94" s="22">
        <f t="shared" si="9"/>
        <v>1.337411685182571E-3</v>
      </c>
      <c r="G94" s="2"/>
      <c r="H94" s="2"/>
      <c r="I94" s="2"/>
      <c r="J94" s="22">
        <f t="shared" si="10"/>
        <v>0</v>
      </c>
      <c r="K94" s="2"/>
      <c r="L94" s="2">
        <f t="shared" si="11"/>
        <v>271.45999999999998</v>
      </c>
      <c r="M94" s="2"/>
      <c r="N94" s="22">
        <f t="shared" si="12"/>
        <v>0</v>
      </c>
      <c r="O94" s="11"/>
      <c r="P94" s="2">
        <v>7785.72</v>
      </c>
      <c r="Q94" s="2"/>
      <c r="R94" s="22">
        <f t="shared" si="13"/>
        <v>1.9068630633834029E-3</v>
      </c>
      <c r="S94" s="2"/>
      <c r="T94" s="2"/>
      <c r="U94" s="2"/>
      <c r="V94" s="22">
        <f t="shared" si="14"/>
        <v>0</v>
      </c>
      <c r="W94" s="2"/>
      <c r="X94" s="2">
        <f t="shared" si="15"/>
        <v>7785.72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"5040", " - ", "PURCHASES @ COST-LOGO CLOTHING")</f>
        <v xml:space="preserve">          5040 - PURCHASES @ COST-LOGO CLOTHING</v>
      </c>
      <c r="C95" s="11"/>
      <c r="D95" s="2">
        <v>26599.9</v>
      </c>
      <c r="E95" s="2"/>
      <c r="F95" s="22">
        <f t="shared" si="9"/>
        <v>0.13105067812822468</v>
      </c>
      <c r="G95" s="2"/>
      <c r="H95" s="2"/>
      <c r="I95" s="2"/>
      <c r="J95" s="22">
        <f t="shared" si="10"/>
        <v>0</v>
      </c>
      <c r="K95" s="2"/>
      <c r="L95" s="2">
        <f t="shared" si="11"/>
        <v>26599.9</v>
      </c>
      <c r="M95" s="2"/>
      <c r="N95" s="22">
        <f t="shared" si="12"/>
        <v>0</v>
      </c>
      <c r="O95" s="11"/>
      <c r="P95" s="2">
        <v>193971.09</v>
      </c>
      <c r="Q95" s="2"/>
      <c r="R95" s="22">
        <f t="shared" si="13"/>
        <v>4.7507013723228901E-2</v>
      </c>
      <c r="S95" s="2"/>
      <c r="T95" s="2"/>
      <c r="U95" s="2"/>
      <c r="V95" s="22">
        <f t="shared" si="14"/>
        <v>0</v>
      </c>
      <c r="W95" s="2"/>
      <c r="X95" s="2">
        <f t="shared" si="15"/>
        <v>193971.09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"5041", " - ", "PURCHASES @ COST-LOGO GIFTS")</f>
        <v xml:space="preserve">          5041 - PURCHASES @ COST-LOGO GIFTS</v>
      </c>
      <c r="C96" s="11"/>
      <c r="D96" s="2">
        <v>26592.809999999998</v>
      </c>
      <c r="E96" s="2"/>
      <c r="F96" s="22">
        <f t="shared" si="9"/>
        <v>0.13101574757179668</v>
      </c>
      <c r="G96" s="2"/>
      <c r="H96" s="2"/>
      <c r="I96" s="2"/>
      <c r="J96" s="22">
        <f t="shared" si="10"/>
        <v>0</v>
      </c>
      <c r="K96" s="2"/>
      <c r="L96" s="2">
        <f t="shared" si="11"/>
        <v>26592.809999999998</v>
      </c>
      <c r="M96" s="2"/>
      <c r="N96" s="22">
        <f t="shared" si="12"/>
        <v>0</v>
      </c>
      <c r="O96" s="11"/>
      <c r="P96" s="2">
        <v>67563.81</v>
      </c>
      <c r="Q96" s="2"/>
      <c r="R96" s="22">
        <f t="shared" si="13"/>
        <v>1.6547594019622358E-2</v>
      </c>
      <c r="S96" s="2"/>
      <c r="T96" s="2"/>
      <c r="U96" s="2"/>
      <c r="V96" s="22">
        <f t="shared" si="14"/>
        <v>0</v>
      </c>
      <c r="W96" s="2"/>
      <c r="X96" s="2">
        <f t="shared" si="15"/>
        <v>67563.81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"5042", " - ", "PURCHASES @ COST-EVERYDAY GIFT")</f>
        <v xml:space="preserve">          5042 - PURCHASES @ COST-EVERYDAY GIFT</v>
      </c>
      <c r="C97" s="11"/>
      <c r="D97" s="2">
        <v>1196.2</v>
      </c>
      <c r="E97" s="2"/>
      <c r="F97" s="22">
        <f t="shared" si="9"/>
        <v>5.893361297485418E-3</v>
      </c>
      <c r="G97" s="2"/>
      <c r="H97" s="2"/>
      <c r="I97" s="2"/>
      <c r="J97" s="22">
        <f t="shared" si="10"/>
        <v>0</v>
      </c>
      <c r="K97" s="2"/>
      <c r="L97" s="2">
        <f t="shared" si="11"/>
        <v>1196.2</v>
      </c>
      <c r="M97" s="2"/>
      <c r="N97" s="22">
        <f t="shared" si="12"/>
        <v>0</v>
      </c>
      <c r="O97" s="11"/>
      <c r="P97" s="2">
        <v>19018.18</v>
      </c>
      <c r="Q97" s="2"/>
      <c r="R97" s="22">
        <f t="shared" si="13"/>
        <v>4.6578948350026669E-3</v>
      </c>
      <c r="S97" s="2"/>
      <c r="T97" s="2"/>
      <c r="U97" s="2"/>
      <c r="V97" s="22">
        <f t="shared" si="14"/>
        <v>0</v>
      </c>
      <c r="W97" s="2"/>
      <c r="X97" s="2">
        <f t="shared" si="15"/>
        <v>19018.18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"5043", " - ", "PURCHASES @ COST-CARDS")</f>
        <v xml:space="preserve">          5043 - PURCHASES @ COST-CARDS</v>
      </c>
      <c r="C98" s="11"/>
      <c r="D98" s="2"/>
      <c r="E98" s="2"/>
      <c r="F98" s="22">
        <f t="shared" si="9"/>
        <v>0</v>
      </c>
      <c r="G98" s="2"/>
      <c r="H98" s="2"/>
      <c r="I98" s="2"/>
      <c r="J98" s="22">
        <f t="shared" si="10"/>
        <v>0</v>
      </c>
      <c r="K98" s="2"/>
      <c r="L98" s="2">
        <f t="shared" si="11"/>
        <v>0</v>
      </c>
      <c r="M98" s="2"/>
      <c r="N98" s="22">
        <f t="shared" si="12"/>
        <v>0</v>
      </c>
      <c r="O98" s="11"/>
      <c r="P98" s="2">
        <v>55364.33</v>
      </c>
      <c r="Q98" s="2"/>
      <c r="R98" s="22">
        <f t="shared" si="13"/>
        <v>1.3559721632163711E-2</v>
      </c>
      <c r="S98" s="2"/>
      <c r="T98" s="2"/>
      <c r="U98" s="2"/>
      <c r="V98" s="22">
        <f t="shared" si="14"/>
        <v>0</v>
      </c>
      <c r="W98" s="2"/>
      <c r="X98" s="2">
        <f t="shared" si="15"/>
        <v>55364.33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"5044", " - ", "PURCHASES @ COST-ACCESSORIES")</f>
        <v xml:space="preserve">          5044 - PURCHASES @ COST-ACCESSORIES</v>
      </c>
      <c r="C99" s="11"/>
      <c r="D99" s="2"/>
      <c r="E99" s="2"/>
      <c r="F99" s="22">
        <f t="shared" si="9"/>
        <v>0</v>
      </c>
      <c r="G99" s="2"/>
      <c r="H99" s="2"/>
      <c r="I99" s="2"/>
      <c r="J99" s="22">
        <f t="shared" si="10"/>
        <v>0</v>
      </c>
      <c r="K99" s="2"/>
      <c r="L99" s="2">
        <f t="shared" si="11"/>
        <v>0</v>
      </c>
      <c r="M99" s="2"/>
      <c r="N99" s="22">
        <f t="shared" si="12"/>
        <v>0</v>
      </c>
      <c r="O99" s="11"/>
      <c r="P99" s="2">
        <v>1064.83</v>
      </c>
      <c r="Q99" s="2"/>
      <c r="R99" s="22">
        <f t="shared" si="13"/>
        <v>2.6079604658047666E-4</v>
      </c>
      <c r="S99" s="2"/>
      <c r="T99" s="2"/>
      <c r="U99" s="2"/>
      <c r="V99" s="22">
        <f t="shared" si="14"/>
        <v>0</v>
      </c>
      <c r="W99" s="2"/>
      <c r="X99" s="2">
        <f t="shared" si="15"/>
        <v>1064.83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"5045", " - ", "PURCHASES @ COST-SPECIAL ORDER")</f>
        <v xml:space="preserve">          5045 - PURCHASES @ COST-SPECIAL ORDER</v>
      </c>
      <c r="C100" s="11"/>
      <c r="D100" s="2">
        <v>1909.13</v>
      </c>
      <c r="E100" s="2"/>
      <c r="F100" s="22">
        <f t="shared" si="9"/>
        <v>9.4057790117608574E-3</v>
      </c>
      <c r="G100" s="2"/>
      <c r="H100" s="2"/>
      <c r="I100" s="2"/>
      <c r="J100" s="22">
        <f t="shared" si="10"/>
        <v>0</v>
      </c>
      <c r="K100" s="2"/>
      <c r="L100" s="2">
        <f t="shared" si="11"/>
        <v>1909.13</v>
      </c>
      <c r="M100" s="2"/>
      <c r="N100" s="22">
        <f t="shared" si="12"/>
        <v>0</v>
      </c>
      <c r="O100" s="11"/>
      <c r="P100" s="2">
        <v>95373.51</v>
      </c>
      <c r="Q100" s="2"/>
      <c r="R100" s="22">
        <f t="shared" si="13"/>
        <v>2.3358690454348165E-2</v>
      </c>
      <c r="S100" s="2"/>
      <c r="T100" s="2"/>
      <c r="U100" s="2"/>
      <c r="V100" s="22">
        <f t="shared" si="14"/>
        <v>0</v>
      </c>
      <c r="W100" s="2"/>
      <c r="X100" s="2">
        <f t="shared" si="15"/>
        <v>95373.51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"5053", " - ", "PURCHASES @ COST-FOOD")</f>
        <v xml:space="preserve">          5053 - PURCHASES @ COST-FOOD</v>
      </c>
      <c r="C101" s="11"/>
      <c r="D101" s="2"/>
      <c r="E101" s="2"/>
      <c r="F101" s="22">
        <f t="shared" si="9"/>
        <v>0</v>
      </c>
      <c r="G101" s="2"/>
      <c r="H101" s="2"/>
      <c r="I101" s="2"/>
      <c r="J101" s="22">
        <f t="shared" si="10"/>
        <v>0</v>
      </c>
      <c r="K101" s="2"/>
      <c r="L101" s="2">
        <f t="shared" si="11"/>
        <v>0</v>
      </c>
      <c r="M101" s="2"/>
      <c r="N101" s="22">
        <f t="shared" si="12"/>
        <v>0</v>
      </c>
      <c r="O101" s="11"/>
      <c r="P101" s="2">
        <v>-2822.95</v>
      </c>
      <c r="Q101" s="2"/>
      <c r="R101" s="22">
        <f t="shared" si="13"/>
        <v>-6.9139130161092067E-4</v>
      </c>
      <c r="S101" s="2"/>
      <c r="T101" s="2"/>
      <c r="U101" s="2"/>
      <c r="V101" s="22">
        <f t="shared" si="14"/>
        <v>0</v>
      </c>
      <c r="W101" s="2"/>
      <c r="X101" s="2">
        <f t="shared" si="15"/>
        <v>-2822.95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"5059", " - ", "PURCHASES @ COST-FOOD")</f>
        <v xml:space="preserve">          5059 - PURCHASES @ COST-FOOD</v>
      </c>
      <c r="C102" s="11"/>
      <c r="D102" s="2">
        <v>19149</v>
      </c>
      <c r="E102" s="2"/>
      <c r="F102" s="22">
        <f t="shared" si="9"/>
        <v>9.4342062770062088E-2</v>
      </c>
      <c r="G102" s="2"/>
      <c r="H102" s="2"/>
      <c r="I102" s="2"/>
      <c r="J102" s="22">
        <f t="shared" si="10"/>
        <v>0</v>
      </c>
      <c r="K102" s="2"/>
      <c r="L102" s="2">
        <f t="shared" si="11"/>
        <v>19149</v>
      </c>
      <c r="M102" s="2"/>
      <c r="N102" s="22">
        <f t="shared" si="12"/>
        <v>0</v>
      </c>
      <c r="O102" s="11"/>
      <c r="P102" s="2">
        <v>30846.91</v>
      </c>
      <c r="Q102" s="2"/>
      <c r="R102" s="22">
        <f t="shared" si="13"/>
        <v>7.5549638695601848E-3</v>
      </c>
      <c r="S102" s="2"/>
      <c r="T102" s="2"/>
      <c r="U102" s="2"/>
      <c r="V102" s="22">
        <f t="shared" si="14"/>
        <v>0</v>
      </c>
      <c r="W102" s="2"/>
      <c r="X102" s="2">
        <f t="shared" si="15"/>
        <v>30846.91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"5086", " - ", "PURCHASES @ COST-COMPUTER SUPP")</f>
        <v xml:space="preserve">          5086 - PURCHASES @ COST-COMPUTER SUPP</v>
      </c>
      <c r="C103" s="11"/>
      <c r="D103" s="2">
        <v>13.21</v>
      </c>
      <c r="E103" s="2"/>
      <c r="F103" s="22">
        <f t="shared" si="9"/>
        <v>6.5082179183901005E-5</v>
      </c>
      <c r="G103" s="2"/>
      <c r="H103" s="2"/>
      <c r="I103" s="2"/>
      <c r="J103" s="22">
        <f t="shared" si="10"/>
        <v>0</v>
      </c>
      <c r="K103" s="2"/>
      <c r="L103" s="2">
        <f t="shared" si="11"/>
        <v>13.21</v>
      </c>
      <c r="M103" s="2"/>
      <c r="N103" s="22">
        <f t="shared" si="12"/>
        <v>0</v>
      </c>
      <c r="O103" s="11"/>
      <c r="P103" s="2">
        <v>13.21</v>
      </c>
      <c r="Q103" s="2"/>
      <c r="R103" s="22">
        <f t="shared" si="13"/>
        <v>3.2353669368144183E-6</v>
      </c>
      <c r="S103" s="2"/>
      <c r="T103" s="2"/>
      <c r="U103" s="2"/>
      <c r="V103" s="22">
        <f t="shared" si="14"/>
        <v>0</v>
      </c>
      <c r="W103" s="2"/>
      <c r="X103" s="2">
        <f t="shared" si="15"/>
        <v>13.21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"5200", " - ", "PURCHASES OFFSET")</f>
        <v xml:space="preserve">          5200 - PURCHASES OFFSET</v>
      </c>
      <c r="C104" s="11"/>
      <c r="D104" s="2">
        <v>154765.96</v>
      </c>
      <c r="E104" s="2"/>
      <c r="F104" s="22">
        <f t="shared" si="9"/>
        <v>0.76249098715279739</v>
      </c>
      <c r="G104" s="2"/>
      <c r="H104" s="2"/>
      <c r="I104" s="2"/>
      <c r="J104" s="22">
        <f t="shared" si="10"/>
        <v>0</v>
      </c>
      <c r="K104" s="2"/>
      <c r="L104" s="2">
        <f t="shared" si="11"/>
        <v>154765.96</v>
      </c>
      <c r="M104" s="2"/>
      <c r="N104" s="22">
        <f t="shared" si="12"/>
        <v>0</v>
      </c>
      <c r="O104" s="11"/>
      <c r="P104" s="2">
        <v>-1981017.4399999997</v>
      </c>
      <c r="Q104" s="2"/>
      <c r="R104" s="22">
        <f t="shared" si="13"/>
        <v>-0.48518685288635427</v>
      </c>
      <c r="S104" s="2"/>
      <c r="T104" s="2"/>
      <c r="U104" s="2"/>
      <c r="V104" s="22">
        <f t="shared" si="14"/>
        <v>0</v>
      </c>
      <c r="W104" s="2"/>
      <c r="X104" s="2">
        <f t="shared" si="15"/>
        <v>-1981017.4399999997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"5300", " - ", "COG$ OFFSET")</f>
        <v xml:space="preserve">          5300 - COG$ OFFSET</v>
      </c>
      <c r="C105" s="11"/>
      <c r="D105" s="2">
        <v>104323</v>
      </c>
      <c r="E105" s="2"/>
      <c r="F105" s="22">
        <f t="shared" si="9"/>
        <v>0.51397185306601845</v>
      </c>
      <c r="G105" s="2"/>
      <c r="H105" s="2"/>
      <c r="I105" s="2"/>
      <c r="J105" s="22">
        <f t="shared" si="10"/>
        <v>0</v>
      </c>
      <c r="K105" s="2"/>
      <c r="L105" s="2">
        <f t="shared" si="11"/>
        <v>104323</v>
      </c>
      <c r="M105" s="2"/>
      <c r="N105" s="22">
        <f t="shared" si="12"/>
        <v>0</v>
      </c>
      <c r="O105" s="11"/>
      <c r="P105" s="2">
        <v>2079913.0000000002</v>
      </c>
      <c r="Q105" s="2"/>
      <c r="R105" s="22">
        <f t="shared" si="13"/>
        <v>0.50940815682441243</v>
      </c>
      <c r="S105" s="2"/>
      <c r="T105" s="2"/>
      <c r="U105" s="2"/>
      <c r="V105" s="22">
        <f t="shared" si="14"/>
        <v>0</v>
      </c>
      <c r="W105" s="2"/>
      <c r="X105" s="2">
        <f t="shared" si="15"/>
        <v>2079913.0000000002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"5501", " - ", "FREIGHT-IN-NEW TEXT")</f>
        <v xml:space="preserve">          5501 - FREIGHT-IN-NEW TEXT</v>
      </c>
      <c r="C106" s="11"/>
      <c r="D106" s="2">
        <v>4638.13</v>
      </c>
      <c r="E106" s="2"/>
      <c r="F106" s="22">
        <f t="shared" si="9"/>
        <v>2.285084085830634E-2</v>
      </c>
      <c r="G106" s="2"/>
      <c r="H106" s="2"/>
      <c r="I106" s="2"/>
      <c r="J106" s="22">
        <f t="shared" si="10"/>
        <v>0</v>
      </c>
      <c r="K106" s="2"/>
      <c r="L106" s="2">
        <f t="shared" si="11"/>
        <v>4638.13</v>
      </c>
      <c r="M106" s="2"/>
      <c r="N106" s="22">
        <f t="shared" si="12"/>
        <v>0</v>
      </c>
      <c r="O106" s="11"/>
      <c r="P106" s="2">
        <v>49256.92</v>
      </c>
      <c r="Q106" s="2"/>
      <c r="R106" s="22">
        <f t="shared" si="13"/>
        <v>1.2063906917283335E-2</v>
      </c>
      <c r="S106" s="2"/>
      <c r="T106" s="2"/>
      <c r="U106" s="2"/>
      <c r="V106" s="22">
        <f t="shared" si="14"/>
        <v>0</v>
      </c>
      <c r="W106" s="2"/>
      <c r="X106" s="2">
        <f t="shared" si="15"/>
        <v>49256.92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"5502", " - ", "FREIGHT-IN-USED TEXT")</f>
        <v xml:space="preserve">          5502 - FREIGHT-IN-USED TEXT</v>
      </c>
      <c r="C107" s="11"/>
      <c r="D107" s="2">
        <v>1484.45</v>
      </c>
      <c r="E107" s="2"/>
      <c r="F107" s="22">
        <f t="shared" si="9"/>
        <v>7.3134928758169446E-3</v>
      </c>
      <c r="G107" s="2"/>
      <c r="H107" s="2"/>
      <c r="I107" s="2"/>
      <c r="J107" s="22">
        <f t="shared" si="10"/>
        <v>0</v>
      </c>
      <c r="K107" s="2"/>
      <c r="L107" s="2">
        <f t="shared" si="11"/>
        <v>1484.45</v>
      </c>
      <c r="M107" s="2"/>
      <c r="N107" s="22">
        <f t="shared" si="12"/>
        <v>0</v>
      </c>
      <c r="O107" s="11"/>
      <c r="P107" s="2">
        <v>17136.759999999998</v>
      </c>
      <c r="Q107" s="2"/>
      <c r="R107" s="22">
        <f t="shared" si="13"/>
        <v>4.1971011891085422E-3</v>
      </c>
      <c r="S107" s="2"/>
      <c r="T107" s="2"/>
      <c r="U107" s="2"/>
      <c r="V107" s="22">
        <f t="shared" si="14"/>
        <v>0</v>
      </c>
      <c r="W107" s="2"/>
      <c r="X107" s="2">
        <f t="shared" si="15"/>
        <v>17136.759999999998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"5504", " - ", "FREIGHT-IN-DIGITAL TEXT")</f>
        <v xml:space="preserve">          5504 - FREIGHT-IN-DIGITAL TEXT</v>
      </c>
      <c r="C108" s="11"/>
      <c r="D108" s="2">
        <v>6.94</v>
      </c>
      <c r="E108" s="2"/>
      <c r="F108" s="22">
        <f t="shared" si="9"/>
        <v>3.4191546066334063E-5</v>
      </c>
      <c r="G108" s="2"/>
      <c r="H108" s="2"/>
      <c r="I108" s="2"/>
      <c r="J108" s="22">
        <f t="shared" si="10"/>
        <v>0</v>
      </c>
      <c r="K108" s="2"/>
      <c r="L108" s="2">
        <f t="shared" si="11"/>
        <v>6.94</v>
      </c>
      <c r="M108" s="2"/>
      <c r="N108" s="22">
        <f t="shared" si="12"/>
        <v>0</v>
      </c>
      <c r="O108" s="11"/>
      <c r="P108" s="2">
        <v>28.92</v>
      </c>
      <c r="Q108" s="2"/>
      <c r="R108" s="22">
        <f t="shared" si="13"/>
        <v>7.0830289033060543E-6</v>
      </c>
      <c r="S108" s="2"/>
      <c r="T108" s="2"/>
      <c r="U108" s="2"/>
      <c r="V108" s="22">
        <f t="shared" si="14"/>
        <v>0</v>
      </c>
      <c r="W108" s="2"/>
      <c r="X108" s="2">
        <f t="shared" si="15"/>
        <v>28.92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"5513", " - ", "FREIGHT-IN-TRADE BOOKS")</f>
        <v xml:space="preserve">          5513 - FREIGHT-IN-TRADE BOOKS</v>
      </c>
      <c r="C109" s="11"/>
      <c r="D109" s="2"/>
      <c r="E109" s="2"/>
      <c r="F109" s="22">
        <f t="shared" si="9"/>
        <v>0</v>
      </c>
      <c r="G109" s="2"/>
      <c r="H109" s="2"/>
      <c r="I109" s="2"/>
      <c r="J109" s="22">
        <f t="shared" si="10"/>
        <v>0</v>
      </c>
      <c r="K109" s="2"/>
      <c r="L109" s="2">
        <f t="shared" si="11"/>
        <v>0</v>
      </c>
      <c r="M109" s="2"/>
      <c r="N109" s="22">
        <f t="shared" si="12"/>
        <v>0</v>
      </c>
      <c r="O109" s="11"/>
      <c r="P109" s="2">
        <v>33.520000000000003</v>
      </c>
      <c r="Q109" s="2"/>
      <c r="R109" s="22">
        <f t="shared" si="13"/>
        <v>8.2096517579121348E-6</v>
      </c>
      <c r="S109" s="2"/>
      <c r="T109" s="2"/>
      <c r="U109" s="2"/>
      <c r="V109" s="22">
        <f t="shared" si="14"/>
        <v>0</v>
      </c>
      <c r="W109" s="2"/>
      <c r="X109" s="2">
        <f t="shared" si="15"/>
        <v>33.520000000000003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"5525", " - ", "FREIGHT-IN-TEST FORMS")</f>
        <v xml:space="preserve">          5525 - FREIGHT-IN-TEST FORMS</v>
      </c>
      <c r="C110" s="11"/>
      <c r="D110" s="2"/>
      <c r="E110" s="2"/>
      <c r="F110" s="22">
        <f t="shared" si="9"/>
        <v>0</v>
      </c>
      <c r="G110" s="2"/>
      <c r="H110" s="2"/>
      <c r="I110" s="2"/>
      <c r="J110" s="22">
        <f t="shared" si="10"/>
        <v>0</v>
      </c>
      <c r="K110" s="2"/>
      <c r="L110" s="2">
        <f t="shared" si="11"/>
        <v>0</v>
      </c>
      <c r="M110" s="2"/>
      <c r="N110" s="22">
        <f t="shared" si="12"/>
        <v>0</v>
      </c>
      <c r="O110" s="11"/>
      <c r="P110" s="2">
        <v>48.14</v>
      </c>
      <c r="Q110" s="2"/>
      <c r="R110" s="22">
        <f t="shared" si="13"/>
        <v>1.1790353091464504E-5</v>
      </c>
      <c r="S110" s="2"/>
      <c r="T110" s="2"/>
      <c r="U110" s="2"/>
      <c r="V110" s="22">
        <f t="shared" si="14"/>
        <v>0</v>
      </c>
      <c r="W110" s="2"/>
      <c r="X110" s="2">
        <f t="shared" si="15"/>
        <v>48.14</v>
      </c>
      <c r="Y110" s="2"/>
      <c r="Z110" s="22">
        <f t="shared" si="16"/>
        <v>0</v>
      </c>
    </row>
    <row r="111" spans="1:26" s="24" customFormat="1" hidden="1" outlineLevel="1" x14ac:dyDescent="0.25">
      <c r="A111" s="51"/>
      <c r="B111" s="11" t="str">
        <f>CONCATENATE("          ", "5527", " - ", "FREIGHT-IN-SCHOOL SUPPLIES")</f>
        <v xml:space="preserve">          5527 - FREIGHT-IN-SCHOOL SUPPLIES</v>
      </c>
      <c r="C111" s="11"/>
      <c r="D111" s="2"/>
      <c r="E111" s="2"/>
      <c r="F111" s="22">
        <f t="shared" si="9"/>
        <v>0</v>
      </c>
      <c r="G111" s="2"/>
      <c r="H111" s="2"/>
      <c r="I111" s="2"/>
      <c r="J111" s="22">
        <f t="shared" si="10"/>
        <v>0</v>
      </c>
      <c r="K111" s="2"/>
      <c r="L111" s="2">
        <f t="shared" si="11"/>
        <v>0</v>
      </c>
      <c r="M111" s="2"/>
      <c r="N111" s="22">
        <f t="shared" si="12"/>
        <v>0</v>
      </c>
      <c r="O111" s="11"/>
      <c r="P111" s="2">
        <v>177.5</v>
      </c>
      <c r="Q111" s="2"/>
      <c r="R111" s="22">
        <f t="shared" si="13"/>
        <v>4.3472947107082458E-5</v>
      </c>
      <c r="S111" s="2"/>
      <c r="T111" s="2"/>
      <c r="U111" s="2"/>
      <c r="V111" s="22">
        <f t="shared" si="14"/>
        <v>0</v>
      </c>
      <c r="W111" s="2"/>
      <c r="X111" s="2">
        <f t="shared" si="15"/>
        <v>177.5</v>
      </c>
      <c r="Y111" s="2"/>
      <c r="Z111" s="22">
        <f t="shared" si="16"/>
        <v>0</v>
      </c>
    </row>
    <row r="112" spans="1:26" s="24" customFormat="1" hidden="1" outlineLevel="1" x14ac:dyDescent="0.25">
      <c r="A112" s="51"/>
      <c r="B112" s="11" t="str">
        <f>CONCATENATE("          ", "5528", " - ", "FREIGHT-IN-ART/TECH")</f>
        <v xml:space="preserve">          5528 - FREIGHT-IN-ART/TECH</v>
      </c>
      <c r="C112" s="11"/>
      <c r="D112" s="2">
        <v>12.76</v>
      </c>
      <c r="E112" s="2"/>
      <c r="F112" s="22">
        <f t="shared" si="9"/>
        <v>6.2865148098908153E-5</v>
      </c>
      <c r="G112" s="2"/>
      <c r="H112" s="2"/>
      <c r="I112" s="2"/>
      <c r="J112" s="22">
        <f t="shared" si="10"/>
        <v>0</v>
      </c>
      <c r="K112" s="2"/>
      <c r="L112" s="2">
        <f t="shared" si="11"/>
        <v>12.76</v>
      </c>
      <c r="M112" s="2"/>
      <c r="N112" s="22">
        <f t="shared" si="12"/>
        <v>0</v>
      </c>
      <c r="O112" s="11"/>
      <c r="P112" s="2">
        <v>351.5</v>
      </c>
      <c r="Q112" s="2"/>
      <c r="R112" s="22">
        <f t="shared" si="13"/>
        <v>8.60886811726168E-5</v>
      </c>
      <c r="S112" s="2"/>
      <c r="T112" s="2"/>
      <c r="U112" s="2"/>
      <c r="V112" s="22">
        <f t="shared" si="14"/>
        <v>0</v>
      </c>
      <c r="W112" s="2"/>
      <c r="X112" s="2">
        <f t="shared" si="15"/>
        <v>351.5</v>
      </c>
      <c r="Y112" s="2"/>
      <c r="Z112" s="22">
        <f t="shared" si="16"/>
        <v>0</v>
      </c>
    </row>
    <row r="113" spans="1:26" s="24" customFormat="1" hidden="1" outlineLevel="1" x14ac:dyDescent="0.25">
      <c r="A113" s="51"/>
      <c r="B113" s="11" t="str">
        <f>CONCATENATE("          ", "5540", " - ", "FREIGHT-IN-LOGO CLOTHING")</f>
        <v xml:space="preserve">          5540 - FREIGHT-IN-LOGO CLOTHING</v>
      </c>
      <c r="C113" s="11"/>
      <c r="D113" s="2">
        <v>150.6</v>
      </c>
      <c r="E113" s="2"/>
      <c r="F113" s="22">
        <f t="shared" si="9"/>
        <v>7.419664031109379E-4</v>
      </c>
      <c r="G113" s="2"/>
      <c r="H113" s="2"/>
      <c r="I113" s="2"/>
      <c r="J113" s="22">
        <f t="shared" si="10"/>
        <v>0</v>
      </c>
      <c r="K113" s="2"/>
      <c r="L113" s="2">
        <f t="shared" si="11"/>
        <v>150.6</v>
      </c>
      <c r="M113" s="2"/>
      <c r="N113" s="22">
        <f t="shared" si="12"/>
        <v>0</v>
      </c>
      <c r="O113" s="11"/>
      <c r="P113" s="2">
        <v>5941.23</v>
      </c>
      <c r="Q113" s="2"/>
      <c r="R113" s="22">
        <f t="shared" si="13"/>
        <v>1.4551142396676702E-3</v>
      </c>
      <c r="S113" s="2"/>
      <c r="T113" s="2"/>
      <c r="U113" s="2"/>
      <c r="V113" s="22">
        <f t="shared" si="14"/>
        <v>0</v>
      </c>
      <c r="W113" s="2"/>
      <c r="X113" s="2">
        <f t="shared" si="15"/>
        <v>5941.23</v>
      </c>
      <c r="Y113" s="2"/>
      <c r="Z113" s="22">
        <f t="shared" si="16"/>
        <v>0</v>
      </c>
    </row>
    <row r="114" spans="1:26" s="24" customFormat="1" hidden="1" outlineLevel="1" x14ac:dyDescent="0.25">
      <c r="A114" s="51"/>
      <c r="B114" s="11" t="str">
        <f>CONCATENATE("          ", "5541", " - ", "FREIGHT-IN-LOGO GIFTS")</f>
        <v xml:space="preserve">          5541 - FREIGHT-IN-LOGO GIFTS</v>
      </c>
      <c r="C114" s="11"/>
      <c r="D114" s="2">
        <v>375.06</v>
      </c>
      <c r="E114" s="2"/>
      <c r="F114" s="22">
        <f t="shared" si="9"/>
        <v>1.8478215083053678E-3</v>
      </c>
      <c r="G114" s="2"/>
      <c r="H114" s="2"/>
      <c r="I114" s="2"/>
      <c r="J114" s="22">
        <f t="shared" si="10"/>
        <v>0</v>
      </c>
      <c r="K114" s="2"/>
      <c r="L114" s="2">
        <f t="shared" si="11"/>
        <v>375.06</v>
      </c>
      <c r="M114" s="2"/>
      <c r="N114" s="22">
        <f t="shared" si="12"/>
        <v>0</v>
      </c>
      <c r="O114" s="11"/>
      <c r="P114" s="2">
        <v>2077.9299999999998</v>
      </c>
      <c r="Q114" s="2"/>
      <c r="R114" s="22">
        <f t="shared" si="13"/>
        <v>5.0892248440687234E-4</v>
      </c>
      <c r="S114" s="2"/>
      <c r="T114" s="2"/>
      <c r="U114" s="2"/>
      <c r="V114" s="22">
        <f t="shared" si="14"/>
        <v>0</v>
      </c>
      <c r="W114" s="2"/>
      <c r="X114" s="2">
        <f t="shared" si="15"/>
        <v>2077.9299999999998</v>
      </c>
      <c r="Y114" s="2"/>
      <c r="Z114" s="22">
        <f t="shared" si="16"/>
        <v>0</v>
      </c>
    </row>
    <row r="115" spans="1:26" s="24" customFormat="1" hidden="1" outlineLevel="1" x14ac:dyDescent="0.25">
      <c r="A115" s="51"/>
      <c r="B115" s="11" t="str">
        <f>CONCATENATE("          ", "5542", " - ", "FREIGHT-IN-EVERYDAY GIFTS")</f>
        <v xml:space="preserve">          5542 - FREIGHT-IN-EVERYDAY GIFTS</v>
      </c>
      <c r="C115" s="11"/>
      <c r="D115" s="2"/>
      <c r="E115" s="2"/>
      <c r="F115" s="22">
        <f t="shared" si="9"/>
        <v>0</v>
      </c>
      <c r="G115" s="2"/>
      <c r="H115" s="2"/>
      <c r="I115" s="2"/>
      <c r="J115" s="22">
        <f t="shared" si="10"/>
        <v>0</v>
      </c>
      <c r="K115" s="2"/>
      <c r="L115" s="2">
        <f t="shared" si="11"/>
        <v>0</v>
      </c>
      <c r="M115" s="2"/>
      <c r="N115" s="22">
        <f t="shared" si="12"/>
        <v>0</v>
      </c>
      <c r="O115" s="11"/>
      <c r="P115" s="2">
        <v>383.93</v>
      </c>
      <c r="Q115" s="2"/>
      <c r="R115" s="22">
        <f t="shared" si="13"/>
        <v>9.403137229758967E-5</v>
      </c>
      <c r="S115" s="2"/>
      <c r="T115" s="2"/>
      <c r="U115" s="2"/>
      <c r="V115" s="22">
        <f t="shared" si="14"/>
        <v>0</v>
      </c>
      <c r="W115" s="2"/>
      <c r="X115" s="2">
        <f t="shared" si="15"/>
        <v>383.93</v>
      </c>
      <c r="Y115" s="2"/>
      <c r="Z115" s="22">
        <f t="shared" si="16"/>
        <v>0</v>
      </c>
    </row>
    <row r="116" spans="1:26" s="24" customFormat="1" hidden="1" outlineLevel="1" x14ac:dyDescent="0.25">
      <c r="A116" s="51"/>
      <c r="B116" s="11" t="str">
        <f>CONCATENATE("          ", "5543", " - ", "FREIGHT-IN-CARDS")</f>
        <v xml:space="preserve">          5543 - FREIGHT-IN-CARDS</v>
      </c>
      <c r="C116" s="11"/>
      <c r="D116" s="2"/>
      <c r="E116" s="2"/>
      <c r="F116" s="22">
        <f t="shared" si="9"/>
        <v>0</v>
      </c>
      <c r="G116" s="2"/>
      <c r="H116" s="2"/>
      <c r="I116" s="2"/>
      <c r="J116" s="22">
        <f t="shared" si="10"/>
        <v>0</v>
      </c>
      <c r="K116" s="2"/>
      <c r="L116" s="2">
        <f t="shared" si="11"/>
        <v>0</v>
      </c>
      <c r="M116" s="2"/>
      <c r="N116" s="22">
        <f t="shared" si="12"/>
        <v>0</v>
      </c>
      <c r="O116" s="11"/>
      <c r="P116" s="2">
        <v>9110.5300000000007</v>
      </c>
      <c r="Q116" s="2"/>
      <c r="R116" s="22">
        <f t="shared" si="13"/>
        <v>2.2313328946900728E-3</v>
      </c>
      <c r="S116" s="2"/>
      <c r="T116" s="2"/>
      <c r="U116" s="2"/>
      <c r="V116" s="22">
        <f t="shared" si="14"/>
        <v>0</v>
      </c>
      <c r="W116" s="2"/>
      <c r="X116" s="2">
        <f t="shared" si="15"/>
        <v>9110.5300000000007</v>
      </c>
      <c r="Y116" s="2"/>
      <c r="Z116" s="22">
        <f t="shared" si="16"/>
        <v>0</v>
      </c>
    </row>
    <row r="117" spans="1:26" s="24" customFormat="1" hidden="1" outlineLevel="1" x14ac:dyDescent="0.25">
      <c r="A117" s="51"/>
      <c r="B117" s="11" t="str">
        <f>CONCATENATE("          ", "5545", " - ", "FREIGHT-IN-SPECIAL ORDERS")</f>
        <v xml:space="preserve">          5545 - FREIGHT-IN-SPECIAL ORDERS</v>
      </c>
      <c r="C117" s="11"/>
      <c r="D117" s="2">
        <v>134.74</v>
      </c>
      <c r="E117" s="2"/>
      <c r="F117" s="22">
        <f t="shared" si="9"/>
        <v>6.6382837420430132E-4</v>
      </c>
      <c r="G117" s="2"/>
      <c r="H117" s="2"/>
      <c r="I117" s="2"/>
      <c r="J117" s="22">
        <f t="shared" si="10"/>
        <v>0</v>
      </c>
      <c r="K117" s="2"/>
      <c r="L117" s="2">
        <f t="shared" si="11"/>
        <v>134.74</v>
      </c>
      <c r="M117" s="2"/>
      <c r="N117" s="22">
        <f t="shared" si="12"/>
        <v>0</v>
      </c>
      <c r="O117" s="11"/>
      <c r="P117" s="2">
        <v>1248.53</v>
      </c>
      <c r="Q117" s="2"/>
      <c r="R117" s="22">
        <f t="shared" si="13"/>
        <v>3.0578748536115862E-4</v>
      </c>
      <c r="S117" s="2"/>
      <c r="T117" s="2"/>
      <c r="U117" s="2"/>
      <c r="V117" s="22">
        <f t="shared" si="14"/>
        <v>0</v>
      </c>
      <c r="W117" s="2"/>
      <c r="X117" s="2">
        <f t="shared" si="15"/>
        <v>1248.53</v>
      </c>
      <c r="Y117" s="2"/>
      <c r="Z117" s="22">
        <f t="shared" si="16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5" t="s">
        <v>6</v>
      </c>
      <c r="C119" s="25"/>
      <c r="D119" s="19">
        <f>D12-D80</f>
        <v>67515.010000000038</v>
      </c>
      <c r="E119" s="13"/>
      <c r="F119" s="21">
        <f>IF(D$12=0,0,D119/D$12)</f>
        <v>0.33262861305245045</v>
      </c>
      <c r="G119" s="13"/>
      <c r="H119" s="19">
        <f>H12-H80</f>
        <v>390802</v>
      </c>
      <c r="I119" s="13"/>
      <c r="J119" s="21">
        <f>IF(H$12=0,0,H119/H$12)</f>
        <v>0.50057127340171537</v>
      </c>
      <c r="K119" s="15"/>
      <c r="L119" s="19">
        <f>+D119-H119</f>
        <v>-323286.99</v>
      </c>
      <c r="M119" s="15"/>
      <c r="N119" s="21">
        <f>IF(H119=0,0,L119/H119)</f>
        <v>-0.82723985547668633</v>
      </c>
      <c r="O119" s="26"/>
      <c r="P119" s="19">
        <f>P12-P80</f>
        <v>1432448.1399999987</v>
      </c>
      <c r="Q119" s="13"/>
      <c r="R119" s="21">
        <f>IF(P$12=0,0,P119/P$12)</f>
        <v>0.35083235055694978</v>
      </c>
      <c r="S119" s="13"/>
      <c r="T119" s="19">
        <f>T12-T80</f>
        <v>3104853</v>
      </c>
      <c r="U119" s="13"/>
      <c r="V119" s="21">
        <f>IF(T$12=0,0,T119/T$12)</f>
        <v>0.40506264874200243</v>
      </c>
      <c r="W119" s="15"/>
      <c r="X119" s="19">
        <f>+P119-T119</f>
        <v>-1672404.8600000013</v>
      </c>
      <c r="Y119" s="15"/>
      <c r="Z119" s="21">
        <f>IF(T119=0,0,X119/T119)</f>
        <v>-0.53864220302861399</v>
      </c>
    </row>
    <row r="120" spans="1:26" x14ac:dyDescent="0.25">
      <c r="A120" s="9"/>
      <c r="B120" s="10"/>
      <c r="C120" s="9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x14ac:dyDescent="0.25">
      <c r="A121" s="10"/>
      <c r="B121" s="26" t="s">
        <v>9</v>
      </c>
      <c r="C121" s="10"/>
      <c r="D121" s="20">
        <f>SUM(OSRRefD22x_0)</f>
        <v>265311.36000000004</v>
      </c>
      <c r="E121" s="20"/>
      <c r="F121" s="33">
        <f t="shared" ref="F121:F132" si="17">IF(D$12=0,0,D121/D$12)</f>
        <v>1.3071189607149483</v>
      </c>
      <c r="G121" s="20"/>
      <c r="H121" s="20">
        <f>SUM(OSRRefH22x_0)</f>
        <v>433425.29948162846</v>
      </c>
      <c r="I121" s="20"/>
      <c r="J121" s="33">
        <f t="shared" ref="J121:J132" si="18">IF(H$12=0,0,H121/H$12)</f>
        <v>0.55516669332817792</v>
      </c>
      <c r="K121" s="4"/>
      <c r="L121" s="20">
        <f t="shared" ref="L121:L132" si="19">+D121-H121</f>
        <v>-168113.93948162842</v>
      </c>
      <c r="M121" s="4"/>
      <c r="N121" s="33">
        <f t="shared" ref="N121:N132" si="20">IF(H121=0,0,L121/H121)</f>
        <v>-0.38787292685196434</v>
      </c>
      <c r="O121" s="10"/>
      <c r="P121" s="20">
        <f>SUM(OSRRefP22x_0)</f>
        <v>2359666.6900000009</v>
      </c>
      <c r="Q121" s="20"/>
      <c r="R121" s="33">
        <f t="shared" ref="R121:R132" si="21">IF(P$12=0,0,P121/P$12)</f>
        <v>0.57792487439275697</v>
      </c>
      <c r="S121" s="20"/>
      <c r="T121" s="20">
        <f>SUM(OSRRefT22x_0)</f>
        <v>3468306.1083700517</v>
      </c>
      <c r="U121" s="20"/>
      <c r="V121" s="33">
        <f t="shared" ref="V121:V132" si="22">IF(T$12=0,0,T121/T$12)</f>
        <v>0.45247915405477801</v>
      </c>
      <c r="W121" s="4"/>
      <c r="X121" s="20">
        <f t="shared" ref="X121:X132" si="23">+P121-T121</f>
        <v>-1108639.4183700508</v>
      </c>
      <c r="Y121" s="4"/>
      <c r="Z121" s="33">
        <f t="shared" ref="Z121:Z132" si="24">IF(T121=0,0,X121/T121)</f>
        <v>-0.31964866529357805</v>
      </c>
    </row>
    <row r="122" spans="1:26" s="28" customFormat="1" outlineLevel="1" collapsed="1" x14ac:dyDescent="0.25">
      <c r="A122" s="29"/>
      <c r="B122" s="14" t="str">
        <f>CONCATENATE("     ","*Benefits                                         ")</f>
        <v xml:space="preserve">     *Benefits                                         </v>
      </c>
      <c r="C122" s="14"/>
      <c r="D122" s="1">
        <f>SUM(OSRRefD22_0x_0)</f>
        <v>45174.219999999994</v>
      </c>
      <c r="E122" s="1"/>
      <c r="F122" s="5">
        <f t="shared" si="17"/>
        <v>0.22256144440067854</v>
      </c>
      <c r="G122" s="1"/>
      <c r="H122" s="1">
        <f>SUM(OSRRefH22_0x_0)</f>
        <v>50295.492537936152</v>
      </c>
      <c r="I122" s="1"/>
      <c r="J122" s="5">
        <f t="shared" si="18"/>
        <v>6.4422594423982404E-2</v>
      </c>
      <c r="K122" s="1"/>
      <c r="L122" s="1">
        <f t="shared" si="19"/>
        <v>-5121.2725379361582</v>
      </c>
      <c r="M122" s="1"/>
      <c r="N122" s="5">
        <f t="shared" si="20"/>
        <v>-0.10182368795918162</v>
      </c>
      <c r="O122" s="14"/>
      <c r="P122" s="1">
        <f>SUM(OSRRefP22_0x_0)</f>
        <v>399654.95</v>
      </c>
      <c r="Q122" s="1"/>
      <c r="R122" s="5">
        <f t="shared" si="21"/>
        <v>9.7882695788358787E-2</v>
      </c>
      <c r="S122" s="1"/>
      <c r="T122" s="1">
        <f>SUM(OSRRefT22_0x_0)</f>
        <v>426382.12753774371</v>
      </c>
      <c r="U122" s="1"/>
      <c r="V122" s="5">
        <f t="shared" si="22"/>
        <v>5.5626296625537107E-2</v>
      </c>
      <c r="W122" s="1"/>
      <c r="X122" s="1">
        <f t="shared" si="23"/>
        <v>-26727.177537743701</v>
      </c>
      <c r="Y122" s="1"/>
      <c r="Z122" s="5">
        <f t="shared" si="24"/>
        <v>-6.2683625348198463E-2</v>
      </c>
    </row>
    <row r="123" spans="1:26" s="24" customFormat="1" hidden="1" outlineLevel="2" x14ac:dyDescent="0.25">
      <c r="A123" s="27"/>
      <c r="B123" s="11" t="str">
        <f>CONCATENATE("          ", "6111", " - ", "F.I.C.A.")</f>
        <v xml:space="preserve">          6111 - F.I.C.A.</v>
      </c>
      <c r="C123" s="11"/>
      <c r="D123" s="7">
        <v>7541.13</v>
      </c>
      <c r="E123" s="2"/>
      <c r="F123" s="6">
        <f t="shared" si="17"/>
        <v>3.7153154724382388E-2</v>
      </c>
      <c r="G123" s="2"/>
      <c r="H123" s="7">
        <v>7730.3181648092286</v>
      </c>
      <c r="I123" s="2"/>
      <c r="J123" s="6">
        <f t="shared" si="18"/>
        <v>9.9016259066201477E-3</v>
      </c>
      <c r="K123" s="2"/>
      <c r="L123" s="7">
        <f t="shared" si="19"/>
        <v>-189.18816480922851</v>
      </c>
      <c r="M123" s="2"/>
      <c r="N123" s="6">
        <f t="shared" si="20"/>
        <v>-2.4473528873684768E-2</v>
      </c>
      <c r="O123" s="11"/>
      <c r="P123" s="7">
        <v>74899.520000000004</v>
      </c>
      <c r="Q123" s="2"/>
      <c r="R123" s="6">
        <f t="shared" si="21"/>
        <v>1.8344241528483744E-2</v>
      </c>
      <c r="S123" s="2"/>
      <c r="T123" s="7">
        <v>76115.042839895759</v>
      </c>
      <c r="U123" s="2"/>
      <c r="V123" s="6">
        <f t="shared" si="22"/>
        <v>9.9300549371706681E-3</v>
      </c>
      <c r="W123" s="2"/>
      <c r="X123" s="7">
        <f t="shared" si="23"/>
        <v>-1215.5228398957552</v>
      </c>
      <c r="Y123" s="2"/>
      <c r="Z123" s="6">
        <f t="shared" si="24"/>
        <v>-1.5969548127990254E-2</v>
      </c>
    </row>
    <row r="124" spans="1:26" s="24" customFormat="1" hidden="1" outlineLevel="2" x14ac:dyDescent="0.25">
      <c r="A124" s="27"/>
      <c r="B124" s="11" t="str">
        <f>CONCATENATE("          ", "6112", " - ", "COMPENSATION INSURANCE")</f>
        <v xml:space="preserve">          6112 - COMPENSATION INSURANCE</v>
      </c>
      <c r="C124" s="11"/>
      <c r="D124" s="7">
        <v>1772.31</v>
      </c>
      <c r="E124" s="2"/>
      <c r="F124" s="6">
        <f t="shared" si="17"/>
        <v>8.7317030272081424E-3</v>
      </c>
      <c r="G124" s="2"/>
      <c r="H124" s="7">
        <v>3754.6505959807682</v>
      </c>
      <c r="I124" s="2"/>
      <c r="J124" s="6">
        <f t="shared" si="18"/>
        <v>4.8092646148397466E-3</v>
      </c>
      <c r="K124" s="2"/>
      <c r="L124" s="7">
        <f t="shared" si="19"/>
        <v>-1982.3405959807683</v>
      </c>
      <c r="M124" s="2"/>
      <c r="N124" s="6">
        <f t="shared" si="20"/>
        <v>-0.5279693929716921</v>
      </c>
      <c r="O124" s="11"/>
      <c r="P124" s="7">
        <v>19092.550000000003</v>
      </c>
      <c r="Q124" s="2"/>
      <c r="R124" s="6">
        <f t="shared" si="21"/>
        <v>4.6761093875455056E-3</v>
      </c>
      <c r="S124" s="2"/>
      <c r="T124" s="7">
        <v>30005.574315644222</v>
      </c>
      <c r="U124" s="2"/>
      <c r="V124" s="6">
        <f t="shared" si="22"/>
        <v>3.9145613042935829E-3</v>
      </c>
      <c r="W124" s="2"/>
      <c r="X124" s="7">
        <f t="shared" si="23"/>
        <v>-10913.024315644219</v>
      </c>
      <c r="Y124" s="2"/>
      <c r="Z124" s="6">
        <f t="shared" si="24"/>
        <v>-0.36369989792044799</v>
      </c>
    </row>
    <row r="125" spans="1:26" s="24" customFormat="1" hidden="1" outlineLevel="2" x14ac:dyDescent="0.25">
      <c r="A125" s="27"/>
      <c r="B125" s="11" t="str">
        <f>CONCATENATE("          ", "6113", " - ", "GROUP INSURANCE")</f>
        <v xml:space="preserve">          6113 - GROUP INSURANCE</v>
      </c>
      <c r="C125" s="11"/>
      <c r="D125" s="7">
        <v>18287.8</v>
      </c>
      <c r="E125" s="2"/>
      <c r="F125" s="6">
        <f t="shared" si="17"/>
        <v>9.0099157946960232E-2</v>
      </c>
      <c r="G125" s="2"/>
      <c r="H125" s="7">
        <v>21247.5</v>
      </c>
      <c r="I125" s="2"/>
      <c r="J125" s="6">
        <f t="shared" si="18"/>
        <v>2.7215541710643616E-2</v>
      </c>
      <c r="K125" s="2"/>
      <c r="L125" s="7">
        <f t="shared" si="19"/>
        <v>-2959.7000000000007</v>
      </c>
      <c r="M125" s="2"/>
      <c r="N125" s="6">
        <f t="shared" si="20"/>
        <v>-0.13929638781033066</v>
      </c>
      <c r="O125" s="11"/>
      <c r="P125" s="7">
        <v>146373.51</v>
      </c>
      <c r="Q125" s="2"/>
      <c r="R125" s="6">
        <f t="shared" si="21"/>
        <v>3.5849509059763411E-2</v>
      </c>
      <c r="S125" s="2"/>
      <c r="T125" s="7">
        <v>172319.99999999997</v>
      </c>
      <c r="U125" s="2"/>
      <c r="V125" s="6">
        <f t="shared" si="22"/>
        <v>2.2481062913839025E-2</v>
      </c>
      <c r="W125" s="2"/>
      <c r="X125" s="7">
        <f t="shared" si="23"/>
        <v>-25946.489999999962</v>
      </c>
      <c r="Y125" s="2"/>
      <c r="Z125" s="6">
        <f t="shared" si="24"/>
        <v>-0.15057155292479088</v>
      </c>
    </row>
    <row r="126" spans="1:26" s="24" customFormat="1" hidden="1" outlineLevel="2" x14ac:dyDescent="0.25">
      <c r="A126" s="27"/>
      <c r="B126" s="11" t="str">
        <f>CONCATENATE("          ", "6114", " - ", "STATE UNEMPLOYMENT INSURANCE")</f>
        <v xml:space="preserve">          6114 - STATE UNEMPLOYMENT INSURANCE</v>
      </c>
      <c r="C126" s="11"/>
      <c r="D126" s="7">
        <v>314.29000000000002</v>
      </c>
      <c r="E126" s="2"/>
      <c r="F126" s="6">
        <f t="shared" si="17"/>
        <v>1.5484237771164456E-3</v>
      </c>
      <c r="G126" s="2"/>
      <c r="H126" s="7">
        <v>532.75468030000002</v>
      </c>
      <c r="I126" s="2"/>
      <c r="J126" s="6">
        <f t="shared" si="18"/>
        <v>6.8239591590753062E-4</v>
      </c>
      <c r="K126" s="2"/>
      <c r="L126" s="7">
        <f t="shared" si="19"/>
        <v>-218.4646803</v>
      </c>
      <c r="M126" s="2"/>
      <c r="N126" s="6">
        <f t="shared" si="20"/>
        <v>-0.41006618689296193</v>
      </c>
      <c r="O126" s="11"/>
      <c r="P126" s="7">
        <v>3062.7</v>
      </c>
      <c r="Q126" s="2"/>
      <c r="R126" s="6">
        <f t="shared" si="21"/>
        <v>7.501103949569658E-4</v>
      </c>
      <c r="S126" s="2"/>
      <c r="T126" s="7">
        <v>4248.2727455499999</v>
      </c>
      <c r="U126" s="2"/>
      <c r="V126" s="6">
        <f t="shared" si="22"/>
        <v>5.5423448739471456E-4</v>
      </c>
      <c r="W126" s="2"/>
      <c r="X126" s="7">
        <f t="shared" si="23"/>
        <v>-1185.57274555</v>
      </c>
      <c r="Y126" s="2"/>
      <c r="Z126" s="6">
        <f t="shared" si="24"/>
        <v>-0.27907171138949805</v>
      </c>
    </row>
    <row r="127" spans="1:26" s="24" customFormat="1" hidden="1" outlineLevel="2" x14ac:dyDescent="0.25">
      <c r="A127" s="27"/>
      <c r="B127" s="11" t="str">
        <f>CONCATENATE("          ", "6115", " - ", "P.E.R.S.")</f>
        <v xml:space="preserve">          6115 - P.E.R.S.</v>
      </c>
      <c r="C127" s="11"/>
      <c r="D127" s="7">
        <v>6291.44</v>
      </c>
      <c r="E127" s="2"/>
      <c r="F127" s="6">
        <f t="shared" si="17"/>
        <v>3.0996262331927482E-2</v>
      </c>
      <c r="G127" s="2"/>
      <c r="H127" s="7">
        <v>5604.8280141538471</v>
      </c>
      <c r="I127" s="2"/>
      <c r="J127" s="6">
        <f t="shared" si="18"/>
        <v>7.1791236898547063E-3</v>
      </c>
      <c r="K127" s="2"/>
      <c r="L127" s="7">
        <f t="shared" si="19"/>
        <v>686.61198584615249</v>
      </c>
      <c r="M127" s="2"/>
      <c r="N127" s="6">
        <f t="shared" si="20"/>
        <v>0.12250366721552459</v>
      </c>
      <c r="O127" s="11"/>
      <c r="P127" s="7">
        <v>61342.200000000004</v>
      </c>
      <c r="Q127" s="2"/>
      <c r="R127" s="6">
        <f t="shared" si="21"/>
        <v>1.5023809667786331E-2</v>
      </c>
      <c r="S127" s="2"/>
      <c r="T127" s="7">
        <v>48550.609181846157</v>
      </c>
      <c r="U127" s="2"/>
      <c r="V127" s="6">
        <f t="shared" si="22"/>
        <v>6.3339676156122003E-3</v>
      </c>
      <c r="W127" s="2"/>
      <c r="X127" s="7">
        <f t="shared" si="23"/>
        <v>12791.590818153847</v>
      </c>
      <c r="Y127" s="2"/>
      <c r="Z127" s="6">
        <f t="shared" si="24"/>
        <v>0.26346921354257336</v>
      </c>
    </row>
    <row r="128" spans="1:26" s="24" customFormat="1" hidden="1" outlineLevel="2" x14ac:dyDescent="0.25">
      <c r="A128" s="27"/>
      <c r="B128" s="11" t="str">
        <f>CONCATENATE("          ", "6116", " - ", "EDUCATIONAL BENEFITS")</f>
        <v xml:space="preserve">          6116 - EDUCATIONAL BENEFITS</v>
      </c>
      <c r="C128" s="11"/>
      <c r="D128" s="7"/>
      <c r="E128" s="2"/>
      <c r="F128" s="6">
        <f t="shared" si="17"/>
        <v>0</v>
      </c>
      <c r="G128" s="2"/>
      <c r="H128" s="7">
        <v>0</v>
      </c>
      <c r="I128" s="2"/>
      <c r="J128" s="6">
        <f t="shared" si="18"/>
        <v>0</v>
      </c>
      <c r="K128" s="2"/>
      <c r="L128" s="7">
        <f t="shared" si="19"/>
        <v>0</v>
      </c>
      <c r="M128" s="2"/>
      <c r="N128" s="6">
        <f t="shared" si="20"/>
        <v>0</v>
      </c>
      <c r="O128" s="11"/>
      <c r="P128" s="7">
        <v>0</v>
      </c>
      <c r="Q128" s="2"/>
      <c r="R128" s="6">
        <f t="shared" si="21"/>
        <v>0</v>
      </c>
      <c r="S128" s="2"/>
      <c r="T128" s="7">
        <v>0</v>
      </c>
      <c r="U128" s="2"/>
      <c r="V128" s="6">
        <f t="shared" si="22"/>
        <v>0</v>
      </c>
      <c r="W128" s="2"/>
      <c r="X128" s="7">
        <f t="shared" si="23"/>
        <v>0</v>
      </c>
      <c r="Y128" s="2"/>
      <c r="Z128" s="6">
        <f t="shared" si="24"/>
        <v>0</v>
      </c>
    </row>
    <row r="129" spans="1:26" s="24" customFormat="1" hidden="1" outlineLevel="2" x14ac:dyDescent="0.25">
      <c r="A129" s="27"/>
      <c r="B129" s="11" t="str">
        <f>CONCATENATE("          ", "6117", " - ", "RETIREMENT STAFF HOURLY")</f>
        <v xml:space="preserve">          6117 - RETIREMENT STAFF HOURLY</v>
      </c>
      <c r="C129" s="11"/>
      <c r="D129" s="7">
        <v>509.38</v>
      </c>
      <c r="E129" s="2"/>
      <c r="F129" s="6">
        <f t="shared" si="17"/>
        <v>2.5095806534970091E-3</v>
      </c>
      <c r="G129" s="2"/>
      <c r="H129" s="7"/>
      <c r="I129" s="2"/>
      <c r="J129" s="6">
        <f t="shared" si="18"/>
        <v>0</v>
      </c>
      <c r="K129" s="2"/>
      <c r="L129" s="7">
        <f t="shared" si="19"/>
        <v>509.38</v>
      </c>
      <c r="M129" s="2"/>
      <c r="N129" s="6">
        <f t="shared" si="20"/>
        <v>0</v>
      </c>
      <c r="O129" s="11"/>
      <c r="P129" s="7">
        <v>2750.42</v>
      </c>
      <c r="Q129" s="2"/>
      <c r="R129" s="6">
        <f t="shared" si="21"/>
        <v>6.7362739820992521E-4</v>
      </c>
      <c r="S129" s="2"/>
      <c r="T129" s="7"/>
      <c r="U129" s="2"/>
      <c r="V129" s="6">
        <f t="shared" si="22"/>
        <v>0</v>
      </c>
      <c r="W129" s="2"/>
      <c r="X129" s="7">
        <f t="shared" si="23"/>
        <v>2750.42</v>
      </c>
      <c r="Y129" s="2"/>
      <c r="Z129" s="6">
        <f t="shared" si="24"/>
        <v>0</v>
      </c>
    </row>
    <row r="130" spans="1:26" s="24" customFormat="1" hidden="1" outlineLevel="2" x14ac:dyDescent="0.25">
      <c r="A130" s="27"/>
      <c r="B130" s="11" t="str">
        <f>CONCATENATE("          ", "6118", " - ", "VACATION")</f>
        <v xml:space="preserve">          6118 - VACATION</v>
      </c>
      <c r="C130" s="11"/>
      <c r="D130" s="7">
        <v>5425.16</v>
      </c>
      <c r="E130" s="2"/>
      <c r="F130" s="6">
        <f t="shared" si="17"/>
        <v>2.6728329691243932E-2</v>
      </c>
      <c r="G130" s="2"/>
      <c r="H130" s="7">
        <v>4370.458012307693</v>
      </c>
      <c r="I130" s="2"/>
      <c r="J130" s="6">
        <f t="shared" si="18"/>
        <v>5.5980412909084187E-3</v>
      </c>
      <c r="K130" s="2"/>
      <c r="L130" s="7">
        <f t="shared" si="19"/>
        <v>1054.7019876923068</v>
      </c>
      <c r="M130" s="2"/>
      <c r="N130" s="6">
        <f t="shared" si="20"/>
        <v>0.24132527637198423</v>
      </c>
      <c r="O130" s="11"/>
      <c r="P130" s="7">
        <v>46876.47</v>
      </c>
      <c r="Q130" s="2"/>
      <c r="R130" s="6">
        <f t="shared" si="21"/>
        <v>1.1480891835925282E-2</v>
      </c>
      <c r="S130" s="2"/>
      <c r="T130" s="7">
        <v>37918.232757692298</v>
      </c>
      <c r="U130" s="2"/>
      <c r="V130" s="6">
        <f t="shared" si="22"/>
        <v>4.9468557115092422E-3</v>
      </c>
      <c r="W130" s="2"/>
      <c r="X130" s="7">
        <f t="shared" si="23"/>
        <v>8958.2372423077031</v>
      </c>
      <c r="Y130" s="2"/>
      <c r="Z130" s="6">
        <f t="shared" si="24"/>
        <v>0.23625144398351178</v>
      </c>
    </row>
    <row r="131" spans="1:26" s="24" customFormat="1" hidden="1" outlineLevel="2" x14ac:dyDescent="0.25">
      <c r="A131" s="27"/>
      <c r="B131" s="11" t="str">
        <f>CONCATENATE("          ", "6119", " - ", "SICK LEAVE")</f>
        <v xml:space="preserve">          6119 - SICK LEAVE</v>
      </c>
      <c r="C131" s="11"/>
      <c r="D131" s="7">
        <v>3824.03</v>
      </c>
      <c r="E131" s="2"/>
      <c r="F131" s="6">
        <f t="shared" si="17"/>
        <v>1.8839985288767066E-2</v>
      </c>
      <c r="G131" s="2"/>
      <c r="H131" s="7">
        <v>5254.9830703846119</v>
      </c>
      <c r="I131" s="2"/>
      <c r="J131" s="6">
        <f t="shared" si="18"/>
        <v>6.7310135752807849E-3</v>
      </c>
      <c r="K131" s="2"/>
      <c r="L131" s="7">
        <f t="shared" si="19"/>
        <v>-1430.9530703846117</v>
      </c>
      <c r="M131" s="2"/>
      <c r="N131" s="6">
        <f t="shared" si="20"/>
        <v>-0.27230403052085955</v>
      </c>
      <c r="O131" s="11"/>
      <c r="P131" s="7">
        <v>33591.660000000003</v>
      </c>
      <c r="Q131" s="2"/>
      <c r="R131" s="6">
        <f t="shared" si="21"/>
        <v>8.2272025826428032E-3</v>
      </c>
      <c r="S131" s="2"/>
      <c r="T131" s="7">
        <v>42824.39569711536</v>
      </c>
      <c r="U131" s="2"/>
      <c r="V131" s="6">
        <f t="shared" si="22"/>
        <v>5.5869193008007655E-3</v>
      </c>
      <c r="W131" s="2"/>
      <c r="X131" s="7">
        <f t="shared" si="23"/>
        <v>-9232.7356971153567</v>
      </c>
      <c r="Y131" s="2"/>
      <c r="Z131" s="6">
        <f t="shared" si="24"/>
        <v>-0.2155952360055666</v>
      </c>
    </row>
    <row r="132" spans="1:26" s="24" customFormat="1" hidden="1" outlineLevel="2" x14ac:dyDescent="0.25">
      <c r="A132" s="27"/>
      <c r="B132" s="11" t="str">
        <f>CONCATENATE("          ", "6156", " - ", "EMPLOYEE MEALS")</f>
        <v xml:space="preserve">          6156 - EMPLOYEE MEALS</v>
      </c>
      <c r="C132" s="11"/>
      <c r="D132" s="7">
        <v>1208.68</v>
      </c>
      <c r="E132" s="2"/>
      <c r="F132" s="6">
        <f t="shared" si="17"/>
        <v>5.9548469595758864E-3</v>
      </c>
      <c r="G132" s="2"/>
      <c r="H132" s="7">
        <v>1800</v>
      </c>
      <c r="I132" s="2"/>
      <c r="J132" s="6">
        <f t="shared" si="18"/>
        <v>2.305587719927451E-3</v>
      </c>
      <c r="K132" s="2"/>
      <c r="L132" s="7">
        <f t="shared" si="19"/>
        <v>-591.31999999999994</v>
      </c>
      <c r="M132" s="2"/>
      <c r="N132" s="6">
        <f t="shared" si="20"/>
        <v>-0.32851111111111109</v>
      </c>
      <c r="O132" s="11"/>
      <c r="P132" s="7">
        <v>11665.92</v>
      </c>
      <c r="Q132" s="2"/>
      <c r="R132" s="6">
        <f t="shared" si="21"/>
        <v>2.857193933044819E-3</v>
      </c>
      <c r="S132" s="2"/>
      <c r="T132" s="7">
        <v>14400</v>
      </c>
      <c r="U132" s="2"/>
      <c r="V132" s="6">
        <f t="shared" si="22"/>
        <v>1.8786403549169105E-3</v>
      </c>
      <c r="W132" s="2"/>
      <c r="X132" s="7">
        <f t="shared" si="23"/>
        <v>-2734.08</v>
      </c>
      <c r="Y132" s="2"/>
      <c r="Z132" s="6">
        <f t="shared" si="24"/>
        <v>-0.18986666666666666</v>
      </c>
    </row>
    <row r="133" spans="1:26" s="28" customFormat="1" outlineLevel="1" collapsed="1" x14ac:dyDescent="0.25">
      <c r="A133" s="29"/>
      <c r="B133" s="14" t="str">
        <f>CONCATENATE("     ","*Payroll                                          ")</f>
        <v xml:space="preserve">     *Payroll                                          </v>
      </c>
      <c r="C133" s="14"/>
      <c r="D133" s="1">
        <f>SUM(OSRRefD22_1x_0)</f>
        <v>111617.56</v>
      </c>
      <c r="E133" s="1"/>
      <c r="F133" s="5">
        <f t="shared" ref="F133:F143" si="25">IF(D$12=0,0,D133/D$12)</f>
        <v>0.54991022255789712</v>
      </c>
      <c r="G133" s="1"/>
      <c r="H133" s="1">
        <f>SUM(OSRRefH22_1x_0)</f>
        <v>191957.80694369233</v>
      </c>
      <c r="I133" s="1"/>
      <c r="J133" s="5">
        <f t="shared" ref="J133:J143" si="26">IF(H$12=0,0,H133/H$12)</f>
        <v>0.24587531246310076</v>
      </c>
      <c r="K133" s="1"/>
      <c r="L133" s="1">
        <f t="shared" ref="L133:L143" si="27">+D133-H133</f>
        <v>-80340.246943692327</v>
      </c>
      <c r="M133" s="1"/>
      <c r="N133" s="5">
        <f t="shared" ref="N133:N143" si="28">IF(H133=0,0,L133/H133)</f>
        <v>-0.41853076060229644</v>
      </c>
      <c r="O133" s="14"/>
      <c r="P133" s="1">
        <f>SUM(OSRRefP22_1x_0)</f>
        <v>1048615.76</v>
      </c>
      <c r="Q133" s="1"/>
      <c r="R133" s="5">
        <f t="shared" ref="R133:R143" si="29">IF(P$12=0,0,P133/P$12)</f>
        <v>0.25682488715567925</v>
      </c>
      <c r="S133" s="1"/>
      <c r="T133" s="1">
        <f>SUM(OSRRefT22_1x_0)</f>
        <v>1526997.9808323081</v>
      </c>
      <c r="U133" s="1"/>
      <c r="V133" s="5">
        <f t="shared" ref="V133:V143" si="30">IF(T$12=0,0,T133/T$12)</f>
        <v>0.19921389087973701</v>
      </c>
      <c r="W133" s="1"/>
      <c r="X133" s="1">
        <f t="shared" ref="X133:X143" si="31">+P133-T133</f>
        <v>-478382.22083230806</v>
      </c>
      <c r="Y133" s="1"/>
      <c r="Z133" s="5">
        <f t="shared" ref="Z133:Z143" si="32">IF(T133=0,0,X133/T133)</f>
        <v>-0.3132828116587032</v>
      </c>
    </row>
    <row r="134" spans="1:26" s="24" customFormat="1" hidden="1" outlineLevel="2" x14ac:dyDescent="0.25">
      <c r="A134" s="27"/>
      <c r="B134" s="11" t="str">
        <f>CONCATENATE("          ", "6001", " - ", "ADMINISTRATIVE SALARIES")</f>
        <v xml:space="preserve">          6001 - ADMINISTRATIVE SALARIES</v>
      </c>
      <c r="C134" s="11"/>
      <c r="D134" s="7">
        <v>4280.74</v>
      </c>
      <c r="E134" s="2"/>
      <c r="F134" s="6">
        <f t="shared" si="25"/>
        <v>2.1090074770605021E-2</v>
      </c>
      <c r="G134" s="2"/>
      <c r="H134" s="7">
        <v>13047.392307692309</v>
      </c>
      <c r="I134" s="2"/>
      <c r="J134" s="6">
        <f t="shared" si="26"/>
        <v>1.6712170823161818E-2</v>
      </c>
      <c r="K134" s="2"/>
      <c r="L134" s="7">
        <f t="shared" si="27"/>
        <v>-8766.6523076923095</v>
      </c>
      <c r="M134" s="2"/>
      <c r="N134" s="6">
        <f t="shared" si="28"/>
        <v>-0.67190838605533321</v>
      </c>
      <c r="O134" s="11"/>
      <c r="P134" s="7">
        <v>34496.590000000004</v>
      </c>
      <c r="Q134" s="2"/>
      <c r="R134" s="6">
        <f t="shared" si="29"/>
        <v>8.4488362391251254E-3</v>
      </c>
      <c r="S134" s="2"/>
      <c r="T134" s="7">
        <v>114164.68269230772</v>
      </c>
      <c r="U134" s="2"/>
      <c r="V134" s="6">
        <f t="shared" si="30"/>
        <v>1.4894054167503713E-2</v>
      </c>
      <c r="W134" s="2"/>
      <c r="X134" s="7">
        <f t="shared" si="31"/>
        <v>-79668.09269230772</v>
      </c>
      <c r="Y134" s="2"/>
      <c r="Z134" s="6">
        <f t="shared" si="32"/>
        <v>-0.69783483660201739</v>
      </c>
    </row>
    <row r="135" spans="1:26" s="24" customFormat="1" hidden="1" outlineLevel="2" x14ac:dyDescent="0.25">
      <c r="A135" s="27"/>
      <c r="B135" s="11" t="str">
        <f>CONCATENATE("          ", "6002", " - ", "STAFF SALARIES")</f>
        <v xml:space="preserve">          6002 - STAFF SALARIES</v>
      </c>
      <c r="C135" s="11"/>
      <c r="D135" s="7">
        <v>60271.590000000004</v>
      </c>
      <c r="E135" s="2"/>
      <c r="F135" s="6">
        <f t="shared" si="25"/>
        <v>0.29694219682654172</v>
      </c>
      <c r="G135" s="2"/>
      <c r="H135" s="7">
        <v>45742.818056000011</v>
      </c>
      <c r="I135" s="2"/>
      <c r="J135" s="6">
        <f t="shared" si="26"/>
        <v>5.8591155324882939E-2</v>
      </c>
      <c r="K135" s="2"/>
      <c r="L135" s="7">
        <f t="shared" si="27"/>
        <v>14528.771943999993</v>
      </c>
      <c r="M135" s="2"/>
      <c r="N135" s="6">
        <f t="shared" si="28"/>
        <v>0.31761864619301211</v>
      </c>
      <c r="O135" s="11"/>
      <c r="P135" s="7">
        <v>514853.46</v>
      </c>
      <c r="Q135" s="2"/>
      <c r="R135" s="6">
        <f t="shared" si="29"/>
        <v>0.12609688582804729</v>
      </c>
      <c r="S135" s="2"/>
      <c r="T135" s="7">
        <v>395104.63069000025</v>
      </c>
      <c r="U135" s="2"/>
      <c r="V135" s="6">
        <f t="shared" si="30"/>
        <v>5.1545798863109511E-2</v>
      </c>
      <c r="W135" s="2"/>
      <c r="X135" s="7">
        <f t="shared" si="31"/>
        <v>119748.82930999977</v>
      </c>
      <c r="Y135" s="2"/>
      <c r="Z135" s="6">
        <f t="shared" si="32"/>
        <v>0.30308131064137006</v>
      </c>
    </row>
    <row r="136" spans="1:26" s="24" customFormat="1" hidden="1" outlineLevel="2" x14ac:dyDescent="0.25">
      <c r="A136" s="27"/>
      <c r="B136" s="11" t="str">
        <f>CONCATENATE("          ", "6003", " - ", "STAFF HOURLY-9 MONTH")</f>
        <v xml:space="preserve">          6003 - STAFF HOURLY-9 MONTH</v>
      </c>
      <c r="C136" s="11"/>
      <c r="D136" s="7"/>
      <c r="E136" s="2"/>
      <c r="F136" s="6">
        <f t="shared" si="25"/>
        <v>0</v>
      </c>
      <c r="G136" s="2"/>
      <c r="H136" s="7">
        <v>0</v>
      </c>
      <c r="I136" s="2"/>
      <c r="J136" s="6">
        <f t="shared" si="26"/>
        <v>0</v>
      </c>
      <c r="K136" s="2"/>
      <c r="L136" s="7">
        <f t="shared" si="27"/>
        <v>0</v>
      </c>
      <c r="M136" s="2"/>
      <c r="N136" s="6">
        <f t="shared" si="28"/>
        <v>0</v>
      </c>
      <c r="O136" s="11"/>
      <c r="P136" s="7"/>
      <c r="Q136" s="2"/>
      <c r="R136" s="6">
        <f t="shared" si="29"/>
        <v>0</v>
      </c>
      <c r="S136" s="2"/>
      <c r="T136" s="7">
        <v>0</v>
      </c>
      <c r="U136" s="2"/>
      <c r="V136" s="6">
        <f t="shared" si="30"/>
        <v>0</v>
      </c>
      <c r="W136" s="2"/>
      <c r="X136" s="7">
        <f t="shared" si="31"/>
        <v>0</v>
      </c>
      <c r="Y136" s="2"/>
      <c r="Z136" s="6">
        <f t="shared" si="32"/>
        <v>0</v>
      </c>
    </row>
    <row r="137" spans="1:26" s="24" customFormat="1" hidden="1" outlineLevel="2" x14ac:dyDescent="0.25">
      <c r="A137" s="27"/>
      <c r="B137" s="11" t="str">
        <f>CONCATENATE("          ", "6004", " - ", "STAFF HOURLY")</f>
        <v xml:space="preserve">          6004 - STAFF HOURLY</v>
      </c>
      <c r="C137" s="11"/>
      <c r="D137" s="7">
        <v>15570.79</v>
      </c>
      <c r="E137" s="2"/>
      <c r="F137" s="6">
        <f t="shared" si="25"/>
        <v>7.6713167661990447E-2</v>
      </c>
      <c r="G137" s="2"/>
      <c r="H137" s="7">
        <v>33078.740080000003</v>
      </c>
      <c r="I137" s="2"/>
      <c r="J137" s="6">
        <f t="shared" si="26"/>
        <v>4.2369964955066661E-2</v>
      </c>
      <c r="K137" s="2"/>
      <c r="L137" s="7">
        <f t="shared" si="27"/>
        <v>-17507.950080000002</v>
      </c>
      <c r="M137" s="2"/>
      <c r="N137" s="6">
        <f t="shared" si="28"/>
        <v>-0.52928104388672348</v>
      </c>
      <c r="O137" s="11"/>
      <c r="P137" s="7">
        <v>125592.43</v>
      </c>
      <c r="Q137" s="2"/>
      <c r="R137" s="6">
        <f t="shared" si="29"/>
        <v>3.0759848261633551E-2</v>
      </c>
      <c r="S137" s="2"/>
      <c r="T137" s="7">
        <v>248321.98069999999</v>
      </c>
      <c r="U137" s="2"/>
      <c r="V137" s="6">
        <f t="shared" si="30"/>
        <v>3.239636763582765E-2</v>
      </c>
      <c r="W137" s="2"/>
      <c r="X137" s="7">
        <f t="shared" si="31"/>
        <v>-122729.55069999999</v>
      </c>
      <c r="Y137" s="2"/>
      <c r="Z137" s="6">
        <f t="shared" si="32"/>
        <v>-0.49423554996635866</v>
      </c>
    </row>
    <row r="138" spans="1:26" s="24" customFormat="1" hidden="1" outlineLevel="2" x14ac:dyDescent="0.25">
      <c r="A138" s="27"/>
      <c r="B138" s="11" t="str">
        <f>CONCATENATE("          ", "6005", " - ", "TEMPORARY WAGES-HOURLY")</f>
        <v xml:space="preserve">          6005 - TEMPORARY WAGES-HOURLY</v>
      </c>
      <c r="C138" s="11"/>
      <c r="D138" s="7">
        <v>12213.85</v>
      </c>
      <c r="E138" s="2"/>
      <c r="F138" s="6">
        <f t="shared" si="25"/>
        <v>6.017441137208851E-2</v>
      </c>
      <c r="G138" s="2"/>
      <c r="H138" s="7">
        <v>13040.88</v>
      </c>
      <c r="I138" s="2"/>
      <c r="J138" s="6">
        <f t="shared" si="26"/>
        <v>1.6703829325026384E-2</v>
      </c>
      <c r="K138" s="2"/>
      <c r="L138" s="7">
        <f t="shared" si="27"/>
        <v>-827.02999999999884</v>
      </c>
      <c r="M138" s="2"/>
      <c r="N138" s="6">
        <f t="shared" si="28"/>
        <v>-6.341826625197064E-2</v>
      </c>
      <c r="O138" s="11"/>
      <c r="P138" s="7">
        <v>124540.03000000001</v>
      </c>
      <c r="Q138" s="2"/>
      <c r="R138" s="6">
        <f t="shared" si="29"/>
        <v>3.0502096545940636E-2</v>
      </c>
      <c r="S138" s="2"/>
      <c r="T138" s="7">
        <v>65214.861999999994</v>
      </c>
      <c r="U138" s="2"/>
      <c r="V138" s="6">
        <f t="shared" si="30"/>
        <v>8.5080049648289819E-3</v>
      </c>
      <c r="W138" s="2"/>
      <c r="X138" s="7">
        <f t="shared" si="31"/>
        <v>59325.16800000002</v>
      </c>
      <c r="Y138" s="2"/>
      <c r="Z138" s="6">
        <f t="shared" si="32"/>
        <v>0.90968785612089509</v>
      </c>
    </row>
    <row r="139" spans="1:26" s="24" customFormat="1" hidden="1" outlineLevel="2" x14ac:dyDescent="0.25">
      <c r="A139" s="27"/>
      <c r="B139" s="11" t="str">
        <f>CONCATENATE("          ", "6006", " - ", "TEMPORARY PART TIME")</f>
        <v xml:space="preserve">          6006 - TEMPORARY PART TIME</v>
      </c>
      <c r="C139" s="11"/>
      <c r="D139" s="7">
        <v>2042.44</v>
      </c>
      <c r="E139" s="2"/>
      <c r="F139" s="6">
        <f t="shared" si="25"/>
        <v>1.0062562153850626E-2</v>
      </c>
      <c r="G139" s="2"/>
      <c r="H139" s="7">
        <v>0</v>
      </c>
      <c r="I139" s="2"/>
      <c r="J139" s="6">
        <f t="shared" si="26"/>
        <v>0</v>
      </c>
      <c r="K139" s="2"/>
      <c r="L139" s="7">
        <f t="shared" si="27"/>
        <v>2042.44</v>
      </c>
      <c r="M139" s="2"/>
      <c r="N139" s="6">
        <f t="shared" si="28"/>
        <v>0</v>
      </c>
      <c r="O139" s="11"/>
      <c r="P139" s="7">
        <v>12030.4</v>
      </c>
      <c r="Q139" s="2"/>
      <c r="R139" s="6">
        <f t="shared" si="29"/>
        <v>2.9464616500115199E-3</v>
      </c>
      <c r="S139" s="2"/>
      <c r="T139" s="7">
        <v>0</v>
      </c>
      <c r="U139" s="2"/>
      <c r="V139" s="6">
        <f t="shared" si="30"/>
        <v>0</v>
      </c>
      <c r="W139" s="2"/>
      <c r="X139" s="7">
        <f t="shared" si="31"/>
        <v>12030.4</v>
      </c>
      <c r="Y139" s="2"/>
      <c r="Z139" s="6">
        <f t="shared" si="32"/>
        <v>0</v>
      </c>
    </row>
    <row r="140" spans="1:26" s="24" customFormat="1" hidden="1" outlineLevel="2" x14ac:dyDescent="0.25">
      <c r="A140" s="27"/>
      <c r="B140" s="11" t="str">
        <f>CONCATENATE("          ", "6007", " - ", "STUDENT HOURLY")</f>
        <v xml:space="preserve">          6007 - STUDENT HOURLY</v>
      </c>
      <c r="C140" s="11"/>
      <c r="D140" s="7">
        <v>16114.230000000001</v>
      </c>
      <c r="E140" s="2"/>
      <c r="F140" s="6">
        <f t="shared" si="25"/>
        <v>7.9390552934942696E-2</v>
      </c>
      <c r="G140" s="2"/>
      <c r="H140" s="7">
        <v>0</v>
      </c>
      <c r="I140" s="2"/>
      <c r="J140" s="6">
        <f t="shared" si="26"/>
        <v>0</v>
      </c>
      <c r="K140" s="2"/>
      <c r="L140" s="7">
        <f t="shared" si="27"/>
        <v>16114.230000000001</v>
      </c>
      <c r="M140" s="2"/>
      <c r="N140" s="6">
        <f t="shared" si="28"/>
        <v>0</v>
      </c>
      <c r="O140" s="11"/>
      <c r="P140" s="7">
        <v>229803.59999999998</v>
      </c>
      <c r="Q140" s="2"/>
      <c r="R140" s="6">
        <f t="shared" si="29"/>
        <v>5.628304083277258E-2</v>
      </c>
      <c r="S140" s="2"/>
      <c r="T140" s="7">
        <v>152654.96249999999</v>
      </c>
      <c r="U140" s="2"/>
      <c r="V140" s="6">
        <f t="shared" si="30"/>
        <v>1.9915539786863033E-2</v>
      </c>
      <c r="W140" s="2"/>
      <c r="X140" s="7">
        <f t="shared" si="31"/>
        <v>77148.637499999983</v>
      </c>
      <c r="Y140" s="2"/>
      <c r="Z140" s="6">
        <f t="shared" si="32"/>
        <v>0.50537916512212944</v>
      </c>
    </row>
    <row r="141" spans="1:26" s="24" customFormat="1" hidden="1" outlineLevel="2" x14ac:dyDescent="0.25">
      <c r="A141" s="27"/>
      <c r="B141" s="11" t="str">
        <f>CONCATENATE("          ", "6008", " - ", "STUDENT HOURLY-FICA EXEMPT")</f>
        <v xml:space="preserve">          6008 - STUDENT HOURLY-FICA EXEMPT</v>
      </c>
      <c r="C141" s="11"/>
      <c r="D141" s="7">
        <v>1123.92</v>
      </c>
      <c r="E141" s="2"/>
      <c r="F141" s="6">
        <f t="shared" si="25"/>
        <v>5.5372568378781236E-3</v>
      </c>
      <c r="G141" s="2"/>
      <c r="H141" s="7">
        <v>87047.976500000004</v>
      </c>
      <c r="I141" s="2"/>
      <c r="J141" s="6">
        <f t="shared" si="26"/>
        <v>0.11149819203496296</v>
      </c>
      <c r="K141" s="2"/>
      <c r="L141" s="7">
        <f t="shared" si="27"/>
        <v>-85924.056500000006</v>
      </c>
      <c r="M141" s="2"/>
      <c r="N141" s="6">
        <f t="shared" si="28"/>
        <v>-0.98708849940928844</v>
      </c>
      <c r="O141" s="11"/>
      <c r="P141" s="7">
        <v>7299.25</v>
      </c>
      <c r="Q141" s="2"/>
      <c r="R141" s="6">
        <f t="shared" si="29"/>
        <v>1.7877177981485725E-3</v>
      </c>
      <c r="S141" s="2"/>
      <c r="T141" s="7">
        <v>551536.86225000001</v>
      </c>
      <c r="U141" s="2"/>
      <c r="V141" s="6">
        <f t="shared" si="30"/>
        <v>7.195412546160411E-2</v>
      </c>
      <c r="W141" s="2"/>
      <c r="X141" s="7">
        <f t="shared" si="31"/>
        <v>-544237.61225000001</v>
      </c>
      <c r="Y141" s="2"/>
      <c r="Z141" s="6">
        <f t="shared" si="32"/>
        <v>-0.9867656171335083</v>
      </c>
    </row>
    <row r="142" spans="1:26" s="24" customFormat="1" hidden="1" outlineLevel="2" x14ac:dyDescent="0.25">
      <c r="A142" s="27"/>
      <c r="B142" s="11" t="str">
        <f>CONCATENATE("          ", "6009", " - ", "TEMPORARY-SEASONAL")</f>
        <v xml:space="preserve">          6009 - TEMPORARY-SEASONAL</v>
      </c>
      <c r="C142" s="11"/>
      <c r="D142" s="7"/>
      <c r="E142" s="2"/>
      <c r="F142" s="6">
        <f t="shared" si="25"/>
        <v>0</v>
      </c>
      <c r="G142" s="2"/>
      <c r="H142" s="7">
        <v>0</v>
      </c>
      <c r="I142" s="2"/>
      <c r="J142" s="6">
        <f t="shared" si="26"/>
        <v>0</v>
      </c>
      <c r="K142" s="2"/>
      <c r="L142" s="7">
        <f t="shared" si="27"/>
        <v>0</v>
      </c>
      <c r="M142" s="2"/>
      <c r="N142" s="6">
        <f t="shared" si="28"/>
        <v>0</v>
      </c>
      <c r="O142" s="11"/>
      <c r="P142" s="7"/>
      <c r="Q142" s="2"/>
      <c r="R142" s="6">
        <f t="shared" si="29"/>
        <v>0</v>
      </c>
      <c r="S142" s="2"/>
      <c r="T142" s="7">
        <v>0</v>
      </c>
      <c r="U142" s="2"/>
      <c r="V142" s="6">
        <f t="shared" si="30"/>
        <v>0</v>
      </c>
      <c r="W142" s="2"/>
      <c r="X142" s="7">
        <f t="shared" si="31"/>
        <v>0</v>
      </c>
      <c r="Y142" s="2"/>
      <c r="Z142" s="6">
        <f t="shared" si="32"/>
        <v>0</v>
      </c>
    </row>
    <row r="143" spans="1:26" s="24" customFormat="1" hidden="1" outlineLevel="2" x14ac:dyDescent="0.25">
      <c r="A143" s="27"/>
      <c r="B143" s="11" t="str">
        <f>CONCATENATE("          ", "6010", " - ", "GRATUITY")</f>
        <v xml:space="preserve">          6010 - GRATUITY</v>
      </c>
      <c r="C143" s="11"/>
      <c r="D143" s="7"/>
      <c r="E143" s="2"/>
      <c r="F143" s="6">
        <f t="shared" si="25"/>
        <v>0</v>
      </c>
      <c r="G143" s="2"/>
      <c r="H143" s="7">
        <v>0</v>
      </c>
      <c r="I143" s="2"/>
      <c r="J143" s="6">
        <f t="shared" si="26"/>
        <v>0</v>
      </c>
      <c r="K143" s="2"/>
      <c r="L143" s="7">
        <f t="shared" si="27"/>
        <v>0</v>
      </c>
      <c r="M143" s="2"/>
      <c r="N143" s="6">
        <f t="shared" si="28"/>
        <v>0</v>
      </c>
      <c r="O143" s="11"/>
      <c r="P143" s="7"/>
      <c r="Q143" s="2"/>
      <c r="R143" s="6">
        <f t="shared" si="29"/>
        <v>0</v>
      </c>
      <c r="S143" s="2"/>
      <c r="T143" s="7">
        <v>0</v>
      </c>
      <c r="U143" s="2"/>
      <c r="V143" s="6">
        <f t="shared" si="30"/>
        <v>0</v>
      </c>
      <c r="W143" s="2"/>
      <c r="X143" s="7">
        <f t="shared" si="31"/>
        <v>0</v>
      </c>
      <c r="Y143" s="2"/>
      <c r="Z143" s="6">
        <f t="shared" si="32"/>
        <v>0</v>
      </c>
    </row>
    <row r="144" spans="1:26" s="28" customFormat="1" outlineLevel="1" collapsed="1" x14ac:dyDescent="0.25">
      <c r="A144" s="29"/>
      <c r="B144" s="14" t="str">
        <f>CONCATENATE("     ","Advertising/Promo                                 ")</f>
        <v xml:space="preserve">     Advertising/Promo                                 </v>
      </c>
      <c r="C144" s="14"/>
      <c r="D144" s="1">
        <f>SUM(OSRRefD22_2x_0)</f>
        <v>114.65</v>
      </c>
      <c r="E144" s="1"/>
      <c r="F144" s="5">
        <f t="shared" ref="F144:F148" si="33">IF(D$12=0,0,D144/D$12)</f>
        <v>5.6485025309873196E-4</v>
      </c>
      <c r="G144" s="1"/>
      <c r="H144" s="1">
        <f>SUM(OSRRefH22_2x_0)</f>
        <v>1319</v>
      </c>
      <c r="I144" s="1"/>
      <c r="J144" s="5">
        <f t="shared" ref="J144:J148" si="34">IF(H$12=0,0,H144/H$12)</f>
        <v>1.689483445880171E-3</v>
      </c>
      <c r="K144" s="1"/>
      <c r="L144" s="1">
        <f t="shared" ref="L144:L148" si="35">+D144-H144</f>
        <v>-1204.3499999999999</v>
      </c>
      <c r="M144" s="1"/>
      <c r="N144" s="5">
        <f t="shared" ref="N144:N148" si="36">IF(H144=0,0,L144/H144)</f>
        <v>-0.91307808946171332</v>
      </c>
      <c r="O144" s="14"/>
      <c r="P144" s="1">
        <f>SUM(OSRRefP22_2x_0)</f>
        <v>16148.79</v>
      </c>
      <c r="Q144" s="1"/>
      <c r="R144" s="5">
        <f t="shared" ref="R144:R148" si="37">IF(P$12=0,0,P144/P$12)</f>
        <v>3.9551295409204629E-3</v>
      </c>
      <c r="S144" s="1"/>
      <c r="T144" s="1">
        <f>SUM(OSRRefT22_2x_0)</f>
        <v>11809</v>
      </c>
      <c r="U144" s="1"/>
      <c r="V144" s="5">
        <f t="shared" ref="V144:V148" si="38">IF(T$12=0,0,T144/T$12)</f>
        <v>1.5406155521676247E-3</v>
      </c>
      <c r="W144" s="1"/>
      <c r="X144" s="1">
        <f t="shared" ref="X144:X148" si="39">+P144-T144</f>
        <v>4339.7900000000009</v>
      </c>
      <c r="Y144" s="1"/>
      <c r="Z144" s="5">
        <f t="shared" ref="Z144:Z148" si="40">IF(T144=0,0,X144/T144)</f>
        <v>0.36749851807943101</v>
      </c>
    </row>
    <row r="145" spans="1:26" s="24" customFormat="1" hidden="1" outlineLevel="2" x14ac:dyDescent="0.25">
      <c r="A145" s="27"/>
      <c r="B145" s="11" t="str">
        <f>CONCATENATE("          ", "6362", " - ", "ADVERTISING EXPENSE")</f>
        <v xml:space="preserve">          6362 - ADVERTISING EXPENSE</v>
      </c>
      <c r="C145" s="11"/>
      <c r="D145" s="7">
        <v>114.65</v>
      </c>
      <c r="E145" s="2"/>
      <c r="F145" s="6">
        <f t="shared" si="33"/>
        <v>5.6485025309873196E-4</v>
      </c>
      <c r="G145" s="2"/>
      <c r="H145" s="7">
        <v>1319</v>
      </c>
      <c r="I145" s="2"/>
      <c r="J145" s="6">
        <f t="shared" si="34"/>
        <v>1.689483445880171E-3</v>
      </c>
      <c r="K145" s="2"/>
      <c r="L145" s="7">
        <f t="shared" si="35"/>
        <v>-1204.3499999999999</v>
      </c>
      <c r="M145" s="2"/>
      <c r="N145" s="6">
        <f t="shared" si="36"/>
        <v>-0.91307808946171332</v>
      </c>
      <c r="O145" s="11"/>
      <c r="P145" s="7">
        <v>16148.79</v>
      </c>
      <c r="Q145" s="2"/>
      <c r="R145" s="6">
        <f t="shared" si="37"/>
        <v>3.9551295409204629E-3</v>
      </c>
      <c r="S145" s="2"/>
      <c r="T145" s="7">
        <v>11809</v>
      </c>
      <c r="U145" s="2"/>
      <c r="V145" s="6">
        <f t="shared" si="38"/>
        <v>1.5406155521676247E-3</v>
      </c>
      <c r="W145" s="2"/>
      <c r="X145" s="7">
        <f t="shared" si="39"/>
        <v>4339.7900000000009</v>
      </c>
      <c r="Y145" s="2"/>
      <c r="Z145" s="6">
        <f t="shared" si="40"/>
        <v>0.36749851807943101</v>
      </c>
    </row>
    <row r="146" spans="1:26" s="28" customFormat="1" outlineLevel="1" collapsed="1" x14ac:dyDescent="0.25">
      <c r="A146" s="29"/>
      <c r="B146" s="14" t="str">
        <f>CONCATENATE("     ","Bad Debts/Over/Short                              ")</f>
        <v xml:space="preserve">     Bad Debts/Over/Short                              </v>
      </c>
      <c r="C146" s="14"/>
      <c r="D146" s="1">
        <f>SUM(OSRRefD22_3x_0)</f>
        <v>3282.4</v>
      </c>
      <c r="E146" s="1"/>
      <c r="F146" s="5">
        <f t="shared" si="33"/>
        <v>1.6171517407512236E-2</v>
      </c>
      <c r="G146" s="1"/>
      <c r="H146" s="1">
        <f>SUM(OSRRefH22_3x_0)</f>
        <v>115</v>
      </c>
      <c r="I146" s="1"/>
      <c r="J146" s="5">
        <f t="shared" si="34"/>
        <v>1.4730143766203158E-4</v>
      </c>
      <c r="K146" s="1"/>
      <c r="L146" s="1">
        <f t="shared" si="35"/>
        <v>3167.4</v>
      </c>
      <c r="M146" s="1"/>
      <c r="N146" s="5">
        <f t="shared" si="36"/>
        <v>27.542608695652174</v>
      </c>
      <c r="O146" s="14"/>
      <c r="P146" s="1">
        <f>SUM(OSRRefP22_3x_0)</f>
        <v>5203.7700000000004</v>
      </c>
      <c r="Q146" s="1"/>
      <c r="R146" s="5">
        <f t="shared" si="37"/>
        <v>1.2744970026333661E-3</v>
      </c>
      <c r="S146" s="1"/>
      <c r="T146" s="1">
        <f>SUM(OSRRefT22_3x_0)</f>
        <v>944</v>
      </c>
      <c r="U146" s="1"/>
      <c r="V146" s="5">
        <f t="shared" si="38"/>
        <v>1.2315531215566415E-4</v>
      </c>
      <c r="W146" s="1"/>
      <c r="X146" s="1">
        <f t="shared" si="39"/>
        <v>4259.7700000000004</v>
      </c>
      <c r="Y146" s="1"/>
      <c r="Z146" s="5">
        <f t="shared" si="40"/>
        <v>4.5124682203389836</v>
      </c>
    </row>
    <row r="147" spans="1:26" s="24" customFormat="1" hidden="1" outlineLevel="2" x14ac:dyDescent="0.25">
      <c r="A147" s="27"/>
      <c r="B147" s="11" t="str">
        <f>CONCATENATE("          ", "6272", " - ", "CASH (OVER/SHORT)")</f>
        <v xml:space="preserve">          6272 - CASH (OVER/SHORT)</v>
      </c>
      <c r="C147" s="11"/>
      <c r="D147" s="7">
        <v>-70.239999999999995</v>
      </c>
      <c r="E147" s="2"/>
      <c r="F147" s="6">
        <f t="shared" si="33"/>
        <v>-3.4605391868866055E-4</v>
      </c>
      <c r="G147" s="2"/>
      <c r="H147" s="7">
        <v>65</v>
      </c>
      <c r="I147" s="2"/>
      <c r="J147" s="6">
        <f t="shared" si="34"/>
        <v>8.3257334330713497E-5</v>
      </c>
      <c r="K147" s="2"/>
      <c r="L147" s="7">
        <f t="shared" si="35"/>
        <v>-135.24</v>
      </c>
      <c r="M147" s="2"/>
      <c r="N147" s="6">
        <f t="shared" si="36"/>
        <v>-2.0806153846153848</v>
      </c>
      <c r="O147" s="11"/>
      <c r="P147" s="7">
        <v>-145.65</v>
      </c>
      <c r="Q147" s="2"/>
      <c r="R147" s="6">
        <f t="shared" si="37"/>
        <v>-3.5672308428994706E-5</v>
      </c>
      <c r="S147" s="2"/>
      <c r="T147" s="7">
        <v>544</v>
      </c>
      <c r="U147" s="2"/>
      <c r="V147" s="6">
        <f t="shared" si="38"/>
        <v>7.0970857852416618E-5</v>
      </c>
      <c r="W147" s="2"/>
      <c r="X147" s="7">
        <f t="shared" si="39"/>
        <v>-689.65</v>
      </c>
      <c r="Y147" s="2"/>
      <c r="Z147" s="6">
        <f t="shared" si="40"/>
        <v>-1.2677389705882351</v>
      </c>
    </row>
    <row r="148" spans="1:26" s="24" customFormat="1" hidden="1" outlineLevel="2" x14ac:dyDescent="0.25">
      <c r="A148" s="27"/>
      <c r="B148" s="11" t="str">
        <f>CONCATENATE("          ", "6342", " - ", "BAD DEBT")</f>
        <v xml:space="preserve">          6342 - BAD DEBT</v>
      </c>
      <c r="C148" s="11"/>
      <c r="D148" s="7">
        <v>3352.64</v>
      </c>
      <c r="E148" s="2"/>
      <c r="F148" s="6">
        <f t="shared" si="33"/>
        <v>1.6517571326200894E-2</v>
      </c>
      <c r="G148" s="2"/>
      <c r="H148" s="7">
        <v>50</v>
      </c>
      <c r="I148" s="2"/>
      <c r="J148" s="6">
        <f t="shared" si="34"/>
        <v>6.4044103331318083E-5</v>
      </c>
      <c r="K148" s="2"/>
      <c r="L148" s="7">
        <f t="shared" si="35"/>
        <v>3302.64</v>
      </c>
      <c r="M148" s="2"/>
      <c r="N148" s="6">
        <f t="shared" si="36"/>
        <v>66.052799999999991</v>
      </c>
      <c r="O148" s="11"/>
      <c r="P148" s="7">
        <v>5349.42</v>
      </c>
      <c r="Q148" s="2"/>
      <c r="R148" s="6">
        <f t="shared" si="37"/>
        <v>1.3101693110623607E-3</v>
      </c>
      <c r="S148" s="2"/>
      <c r="T148" s="7">
        <v>400</v>
      </c>
      <c r="U148" s="2"/>
      <c r="V148" s="6">
        <f t="shared" si="38"/>
        <v>5.2184454303247515E-5</v>
      </c>
      <c r="W148" s="2"/>
      <c r="X148" s="7">
        <f t="shared" si="39"/>
        <v>4949.42</v>
      </c>
      <c r="Y148" s="2"/>
      <c r="Z148" s="6">
        <f t="shared" si="40"/>
        <v>12.37355</v>
      </c>
    </row>
    <row r="149" spans="1:26" s="28" customFormat="1" outlineLevel="1" collapsed="1" x14ac:dyDescent="0.25">
      <c r="A149" s="29"/>
      <c r="B149" s="14" t="str">
        <f>CONCATENATE("     ","Bank/card Fees                                    ")</f>
        <v xml:space="preserve">     Bank/card Fees                                    </v>
      </c>
      <c r="C149" s="14"/>
      <c r="D149" s="1">
        <f>SUM(OSRRefD22_4x_0)</f>
        <v>3981.37</v>
      </c>
      <c r="E149" s="1"/>
      <c r="F149" s="5">
        <f t="shared" ref="F149:F153" si="41">IF(D$12=0,0,D149/D$12)</f>
        <v>1.9615157890795452E-2</v>
      </c>
      <c r="G149" s="1"/>
      <c r="H149" s="1">
        <f>SUM(OSRRefH22_4x_0)</f>
        <v>23165</v>
      </c>
      <c r="I149" s="1"/>
      <c r="J149" s="5">
        <f t="shared" ref="J149:J153" si="42">IF(H$12=0,0,H149/H$12)</f>
        <v>2.9671633073399668E-2</v>
      </c>
      <c r="K149" s="1"/>
      <c r="L149" s="1">
        <f t="shared" ref="L149:L153" si="43">+D149-H149</f>
        <v>-19183.63</v>
      </c>
      <c r="M149" s="1"/>
      <c r="N149" s="5">
        <f t="shared" ref="N149:N153" si="44">IF(H149=0,0,L149/H149)</f>
        <v>-0.82812993740556884</v>
      </c>
      <c r="O149" s="14"/>
      <c r="P149" s="1">
        <f>SUM(OSRRefP22_4x_0)</f>
        <v>66864.31</v>
      </c>
      <c r="Q149" s="1"/>
      <c r="R149" s="5">
        <f t="shared" ref="R149:R153" si="45">IF(P$12=0,0,P149/P$12)</f>
        <v>1.6376273870318672E-2</v>
      </c>
      <c r="S149" s="1"/>
      <c r="T149" s="1">
        <f>SUM(OSRRefT22_4x_0)</f>
        <v>185184</v>
      </c>
      <c r="U149" s="1"/>
      <c r="V149" s="5">
        <f t="shared" ref="V149:V153" si="46">IF(T$12=0,0,T149/T$12)</f>
        <v>2.415931496423147E-2</v>
      </c>
      <c r="W149" s="1"/>
      <c r="X149" s="1">
        <f t="shared" ref="X149:X153" si="47">+P149-T149</f>
        <v>-118319.69</v>
      </c>
      <c r="Y149" s="1"/>
      <c r="Z149" s="5">
        <f t="shared" ref="Z149:Z153" si="48">IF(T149=0,0,X149/T149)</f>
        <v>-0.63893041515465698</v>
      </c>
    </row>
    <row r="150" spans="1:26" s="24" customFormat="1" hidden="1" outlineLevel="2" x14ac:dyDescent="0.25">
      <c r="A150" s="27"/>
      <c r="B150" s="11" t="str">
        <f>CONCATENATE("          ", "6381", " - ", "BANK/CREDIT CARD FEES")</f>
        <v xml:space="preserve">          6381 - BANK/CREDIT CARD FEES</v>
      </c>
      <c r="C150" s="11"/>
      <c r="D150" s="7">
        <v>3981.37</v>
      </c>
      <c r="E150" s="2"/>
      <c r="F150" s="6">
        <f t="shared" si="41"/>
        <v>1.9615157890795452E-2</v>
      </c>
      <c r="G150" s="2"/>
      <c r="H150" s="7">
        <v>23165</v>
      </c>
      <c r="I150" s="2"/>
      <c r="J150" s="6">
        <f t="shared" si="42"/>
        <v>2.9671633073399668E-2</v>
      </c>
      <c r="K150" s="2"/>
      <c r="L150" s="7">
        <f t="shared" si="43"/>
        <v>-19183.63</v>
      </c>
      <c r="M150" s="2"/>
      <c r="N150" s="6">
        <f t="shared" si="44"/>
        <v>-0.82812993740556884</v>
      </c>
      <c r="O150" s="11"/>
      <c r="P150" s="7">
        <v>66864.31</v>
      </c>
      <c r="Q150" s="2"/>
      <c r="R150" s="6">
        <f t="shared" si="45"/>
        <v>1.6376273870318672E-2</v>
      </c>
      <c r="S150" s="2"/>
      <c r="T150" s="7">
        <v>185184</v>
      </c>
      <c r="U150" s="2"/>
      <c r="V150" s="6">
        <f t="shared" si="46"/>
        <v>2.415931496423147E-2</v>
      </c>
      <c r="W150" s="2"/>
      <c r="X150" s="7">
        <f t="shared" si="47"/>
        <v>-118319.69</v>
      </c>
      <c r="Y150" s="2"/>
      <c r="Z150" s="6">
        <f t="shared" si="48"/>
        <v>-0.63893041515465698</v>
      </c>
    </row>
    <row r="151" spans="1:26" s="28" customFormat="1" outlineLevel="1" collapsed="1" x14ac:dyDescent="0.25">
      <c r="A151" s="29"/>
      <c r="B151" s="14" t="str">
        <f>CONCATENATE("     ","Depreciation                                      ")</f>
        <v xml:space="preserve">     Depreciation                                      </v>
      </c>
      <c r="C151" s="14"/>
      <c r="D151" s="1">
        <f>SUM(OSRRefD22_5x_0)</f>
        <v>39887.94</v>
      </c>
      <c r="E151" s="1"/>
      <c r="F151" s="5">
        <f t="shared" si="41"/>
        <v>0.19651733976962091</v>
      </c>
      <c r="G151" s="1"/>
      <c r="H151" s="1">
        <f>SUM(OSRRefH22_5x_0)</f>
        <v>38857</v>
      </c>
      <c r="I151" s="1"/>
      <c r="J151" s="5">
        <f t="shared" si="42"/>
        <v>4.9771234462900535E-2</v>
      </c>
      <c r="K151" s="1"/>
      <c r="L151" s="1">
        <f t="shared" si="43"/>
        <v>1030.9400000000023</v>
      </c>
      <c r="M151" s="1"/>
      <c r="N151" s="5">
        <f t="shared" si="44"/>
        <v>2.6531641660447341E-2</v>
      </c>
      <c r="O151" s="14"/>
      <c r="P151" s="1">
        <f>SUM(OSRRefP22_5x_0)</f>
        <v>319580.29000000004</v>
      </c>
      <c r="Q151" s="1"/>
      <c r="R151" s="5">
        <f t="shared" si="45"/>
        <v>7.8270969259921538E-2</v>
      </c>
      <c r="S151" s="1"/>
      <c r="T151" s="1">
        <f>SUM(OSRRefT22_5x_0)</f>
        <v>312312</v>
      </c>
      <c r="U151" s="1"/>
      <c r="V151" s="5">
        <f t="shared" si="46"/>
        <v>4.0744578230889596E-2</v>
      </c>
      <c r="W151" s="1"/>
      <c r="X151" s="1">
        <f t="shared" si="47"/>
        <v>7268.2900000000373</v>
      </c>
      <c r="Y151" s="1"/>
      <c r="Z151" s="5">
        <f t="shared" si="48"/>
        <v>2.3272528753298102E-2</v>
      </c>
    </row>
    <row r="152" spans="1:26" s="24" customFormat="1" hidden="1" outlineLevel="2" x14ac:dyDescent="0.25">
      <c r="A152" s="27"/>
      <c r="B152" s="11" t="str">
        <f>CONCATENATE("          ", "6321", " - ", "BUILDING DEPRECIATION")</f>
        <v xml:space="preserve">          6321 - BUILDING DEPRECIATION</v>
      </c>
      <c r="C152" s="11"/>
      <c r="D152" s="7">
        <v>21477.030000000002</v>
      </c>
      <c r="E152" s="2"/>
      <c r="F152" s="6">
        <f t="shared" si="41"/>
        <v>0.10581165138516407</v>
      </c>
      <c r="G152" s="2"/>
      <c r="H152" s="7"/>
      <c r="I152" s="2"/>
      <c r="J152" s="6">
        <f t="shared" si="42"/>
        <v>0</v>
      </c>
      <c r="K152" s="2"/>
      <c r="L152" s="7">
        <f t="shared" si="43"/>
        <v>21477.030000000002</v>
      </c>
      <c r="M152" s="2"/>
      <c r="N152" s="6">
        <f t="shared" si="44"/>
        <v>0</v>
      </c>
      <c r="O152" s="11"/>
      <c r="P152" s="7">
        <v>171816.24000000002</v>
      </c>
      <c r="Q152" s="2"/>
      <c r="R152" s="6">
        <f t="shared" si="45"/>
        <v>4.2080891907931184E-2</v>
      </c>
      <c r="S152" s="2"/>
      <c r="T152" s="7"/>
      <c r="U152" s="2"/>
      <c r="V152" s="6">
        <f t="shared" si="46"/>
        <v>0</v>
      </c>
      <c r="W152" s="2"/>
      <c r="X152" s="7">
        <f t="shared" si="47"/>
        <v>171816.24000000002</v>
      </c>
      <c r="Y152" s="2"/>
      <c r="Z152" s="6">
        <f t="shared" si="48"/>
        <v>0</v>
      </c>
    </row>
    <row r="153" spans="1:26" s="24" customFormat="1" hidden="1" outlineLevel="2" x14ac:dyDescent="0.25">
      <c r="A153" s="27"/>
      <c r="B153" s="11" t="str">
        <f>CONCATENATE("          ", "6322", " - ", "EQUIPMENT DEPRECIATION EXPENSE")</f>
        <v xml:space="preserve">          6322 - EQUIPMENT DEPRECIATION EXPENSE</v>
      </c>
      <c r="C153" s="11"/>
      <c r="D153" s="7">
        <v>18410.91</v>
      </c>
      <c r="E153" s="2"/>
      <c r="F153" s="6">
        <f t="shared" si="41"/>
        <v>9.0705688384456834E-2</v>
      </c>
      <c r="G153" s="2"/>
      <c r="H153" s="7">
        <v>38857</v>
      </c>
      <c r="I153" s="2"/>
      <c r="J153" s="6">
        <f t="shared" si="42"/>
        <v>4.9771234462900535E-2</v>
      </c>
      <c r="K153" s="2"/>
      <c r="L153" s="7">
        <f t="shared" si="43"/>
        <v>-20446.09</v>
      </c>
      <c r="M153" s="2"/>
      <c r="N153" s="6">
        <f t="shared" si="44"/>
        <v>-0.52618807422086111</v>
      </c>
      <c r="O153" s="11"/>
      <c r="P153" s="7">
        <v>147764.05000000002</v>
      </c>
      <c r="Q153" s="2"/>
      <c r="R153" s="6">
        <f t="shared" si="45"/>
        <v>3.6190077351990355E-2</v>
      </c>
      <c r="S153" s="2"/>
      <c r="T153" s="7">
        <v>312312</v>
      </c>
      <c r="U153" s="2"/>
      <c r="V153" s="6">
        <f t="shared" si="46"/>
        <v>4.0744578230889596E-2</v>
      </c>
      <c r="W153" s="2"/>
      <c r="X153" s="7">
        <f t="shared" si="47"/>
        <v>-164547.94999999998</v>
      </c>
      <c r="Y153" s="2"/>
      <c r="Z153" s="6">
        <f t="shared" si="48"/>
        <v>-0.52687040523578976</v>
      </c>
    </row>
    <row r="154" spans="1:26" s="28" customFormat="1" outlineLevel="1" collapsed="1" x14ac:dyDescent="0.25">
      <c r="A154" s="29"/>
      <c r="B154" s="14" t="str">
        <f>CONCATENATE("     ","Discounts and Markdowns                           ")</f>
        <v xml:space="preserve">     Discounts and Markdowns                           </v>
      </c>
      <c r="C154" s="14"/>
      <c r="D154" s="1">
        <f>SUM(OSRRefD22_6x_0)</f>
        <v>42.86</v>
      </c>
      <c r="E154" s="1"/>
      <c r="F154" s="5">
        <f t="shared" ref="F154:F156" si="49">IF(D$12=0,0,D154/D$12)</f>
        <v>2.1115989400620716E-4</v>
      </c>
      <c r="G154" s="1"/>
      <c r="H154" s="1">
        <f>SUM(OSRRefH22_6x_0)</f>
        <v>33027</v>
      </c>
      <c r="I154" s="1"/>
      <c r="J154" s="5">
        <f t="shared" ref="J154:J156" si="50">IF(H$12=0,0,H154/H$12)</f>
        <v>4.2303692014468847E-2</v>
      </c>
      <c r="K154" s="1"/>
      <c r="L154" s="1">
        <f t="shared" ref="L154:L156" si="51">+D154-H154</f>
        <v>-32984.14</v>
      </c>
      <c r="M154" s="1"/>
      <c r="N154" s="5">
        <f t="shared" ref="N154:N156" si="52">IF(H154=0,0,L154/H154)</f>
        <v>-0.99870227389711441</v>
      </c>
      <c r="O154" s="14"/>
      <c r="P154" s="1">
        <f>SUM(OSRRefP22_6x_0)</f>
        <v>0</v>
      </c>
      <c r="Q154" s="1"/>
      <c r="R154" s="5">
        <f t="shared" ref="R154:R156" si="53">IF(P$12=0,0,P154/P$12)</f>
        <v>0</v>
      </c>
      <c r="S154" s="1"/>
      <c r="T154" s="1">
        <f>SUM(OSRRefT22_6x_0)</f>
        <v>219858</v>
      </c>
      <c r="U154" s="1"/>
      <c r="V154" s="5">
        <f t="shared" ref="V154:V156" si="54">IF(T$12=0,0,T154/T$12)</f>
        <v>2.8682924385508481E-2</v>
      </c>
      <c r="W154" s="1"/>
      <c r="X154" s="1">
        <f t="shared" ref="X154:X156" si="55">+P154-T154</f>
        <v>-219858</v>
      </c>
      <c r="Y154" s="1"/>
      <c r="Z154" s="5">
        <f t="shared" ref="Z154:Z156" si="56">IF(T154=0,0,X154/T154)</f>
        <v>-1</v>
      </c>
    </row>
    <row r="155" spans="1:26" s="24" customFormat="1" hidden="1" outlineLevel="2" x14ac:dyDescent="0.25">
      <c r="A155" s="27"/>
      <c r="B155" s="11" t="str">
        <f>CONCATENATE("          ", "6382", " - ", "DISCOUNTS/MARK DOWNS")</f>
        <v xml:space="preserve">          6382 - DISCOUNTS/MARK DOWNS</v>
      </c>
      <c r="C155" s="11"/>
      <c r="D155" s="7"/>
      <c r="E155" s="2"/>
      <c r="F155" s="6">
        <f t="shared" si="49"/>
        <v>0</v>
      </c>
      <c r="G155" s="2"/>
      <c r="H155" s="7">
        <v>33027</v>
      </c>
      <c r="I155" s="2"/>
      <c r="J155" s="6">
        <f t="shared" si="50"/>
        <v>4.2303692014468847E-2</v>
      </c>
      <c r="K155" s="2"/>
      <c r="L155" s="7">
        <f t="shared" si="51"/>
        <v>-33027</v>
      </c>
      <c r="M155" s="2"/>
      <c r="N155" s="6">
        <f t="shared" si="52"/>
        <v>-1</v>
      </c>
      <c r="O155" s="11"/>
      <c r="P155" s="7">
        <v>0</v>
      </c>
      <c r="Q155" s="2"/>
      <c r="R155" s="6">
        <f t="shared" si="53"/>
        <v>0</v>
      </c>
      <c r="S155" s="2"/>
      <c r="T155" s="7">
        <v>219858</v>
      </c>
      <c r="U155" s="2"/>
      <c r="V155" s="6">
        <f t="shared" si="54"/>
        <v>2.8682924385508481E-2</v>
      </c>
      <c r="W155" s="2"/>
      <c r="X155" s="7">
        <f t="shared" si="55"/>
        <v>-219858</v>
      </c>
      <c r="Y155" s="2"/>
      <c r="Z155" s="6">
        <f t="shared" si="56"/>
        <v>-1</v>
      </c>
    </row>
    <row r="156" spans="1:26" s="24" customFormat="1" hidden="1" outlineLevel="2" x14ac:dyDescent="0.25">
      <c r="A156" s="27"/>
      <c r="B156" s="11" t="str">
        <f>CONCATENATE("          ", "9175", " - ", "EARNED DISCOUNTS")</f>
        <v xml:space="preserve">          9175 - EARNED DISCOUNTS</v>
      </c>
      <c r="C156" s="11"/>
      <c r="D156" s="7">
        <v>42.86</v>
      </c>
      <c r="E156" s="2"/>
      <c r="F156" s="6">
        <f t="shared" si="49"/>
        <v>2.1115989400620716E-4</v>
      </c>
      <c r="G156" s="2"/>
      <c r="H156" s="7"/>
      <c r="I156" s="2"/>
      <c r="J156" s="6">
        <f t="shared" si="50"/>
        <v>0</v>
      </c>
      <c r="K156" s="2"/>
      <c r="L156" s="7">
        <f t="shared" si="51"/>
        <v>42.86</v>
      </c>
      <c r="M156" s="2"/>
      <c r="N156" s="6">
        <f t="shared" si="52"/>
        <v>0</v>
      </c>
      <c r="O156" s="11"/>
      <c r="P156" s="7">
        <v>0</v>
      </c>
      <c r="Q156" s="2"/>
      <c r="R156" s="6">
        <f t="shared" si="53"/>
        <v>0</v>
      </c>
      <c r="S156" s="2"/>
      <c r="T156" s="7"/>
      <c r="U156" s="2"/>
      <c r="V156" s="6">
        <f t="shared" si="54"/>
        <v>0</v>
      </c>
      <c r="W156" s="2"/>
      <c r="X156" s="7">
        <f t="shared" si="55"/>
        <v>0</v>
      </c>
      <c r="Y156" s="2"/>
      <c r="Z156" s="6">
        <f t="shared" si="56"/>
        <v>0</v>
      </c>
    </row>
    <row r="157" spans="1:26" s="28" customFormat="1" outlineLevel="1" collapsed="1" x14ac:dyDescent="0.25">
      <c r="A157" s="29"/>
      <c r="B157" s="14" t="str">
        <f>CONCATENATE("     ","Donations                                         ")</f>
        <v xml:space="preserve">     Donations                                         </v>
      </c>
      <c r="C157" s="14"/>
      <c r="D157" s="1">
        <f>SUM(OSRRefD22_7x_0)</f>
        <v>0</v>
      </c>
      <c r="E157" s="1"/>
      <c r="F157" s="5">
        <f t="shared" ref="F157:F159" si="57">IF(D$12=0,0,D157/D$12)</f>
        <v>0</v>
      </c>
      <c r="G157" s="1"/>
      <c r="H157" s="1">
        <f>SUM(OSRRefH22_7x_0)</f>
        <v>1000</v>
      </c>
      <c r="I157" s="1"/>
      <c r="J157" s="5">
        <f t="shared" ref="J157:J159" si="58">IF(H$12=0,0,H157/H$12)</f>
        <v>1.2808820666263617E-3</v>
      </c>
      <c r="K157" s="1"/>
      <c r="L157" s="1">
        <f t="shared" ref="L157:L159" si="59">+D157-H157</f>
        <v>-1000</v>
      </c>
      <c r="M157" s="1"/>
      <c r="N157" s="5">
        <f t="shared" ref="N157:N159" si="60">IF(H157=0,0,L157/H157)</f>
        <v>-1</v>
      </c>
      <c r="O157" s="14"/>
      <c r="P157" s="1">
        <f>SUM(OSRRefP22_7x_0)</f>
        <v>0</v>
      </c>
      <c r="Q157" s="1"/>
      <c r="R157" s="5">
        <f t="shared" ref="R157:R159" si="61">IF(P$12=0,0,P157/P$12)</f>
        <v>0</v>
      </c>
      <c r="S157" s="1"/>
      <c r="T157" s="1">
        <f>SUM(OSRRefT22_7x_0)</f>
        <v>8000</v>
      </c>
      <c r="U157" s="1"/>
      <c r="V157" s="5">
        <f t="shared" ref="V157:V159" si="62">IF(T$12=0,0,T157/T$12)</f>
        <v>1.0436890860649503E-3</v>
      </c>
      <c r="W157" s="1"/>
      <c r="X157" s="1">
        <f t="shared" ref="X157:X159" si="63">+P157-T157</f>
        <v>-8000</v>
      </c>
      <c r="Y157" s="1"/>
      <c r="Z157" s="5">
        <f t="shared" ref="Z157:Z159" si="64">IF(T157=0,0,X157/T157)</f>
        <v>-1</v>
      </c>
    </row>
    <row r="158" spans="1:26" s="24" customFormat="1" hidden="1" outlineLevel="2" x14ac:dyDescent="0.25">
      <c r="A158" s="27"/>
      <c r="B158" s="11" t="str">
        <f>CONCATENATE("          ", "6395", " - ", "DONATION-OFF CAMPUS")</f>
        <v xml:space="preserve">          6395 - DONATION-OFF CAMPUS</v>
      </c>
      <c r="C158" s="11"/>
      <c r="D158" s="7"/>
      <c r="E158" s="2"/>
      <c r="F158" s="6">
        <f t="shared" si="57"/>
        <v>0</v>
      </c>
      <c r="G158" s="2"/>
      <c r="H158" s="7"/>
      <c r="I158" s="2"/>
      <c r="J158" s="6">
        <f t="shared" si="58"/>
        <v>0</v>
      </c>
      <c r="K158" s="2"/>
      <c r="L158" s="7">
        <f t="shared" si="59"/>
        <v>0</v>
      </c>
      <c r="M158" s="2"/>
      <c r="N158" s="6">
        <f t="shared" si="60"/>
        <v>0</v>
      </c>
      <c r="O158" s="11"/>
      <c r="P158" s="7"/>
      <c r="Q158" s="2"/>
      <c r="R158" s="6">
        <f t="shared" si="61"/>
        <v>0</v>
      </c>
      <c r="S158" s="2"/>
      <c r="T158" s="7">
        <v>0</v>
      </c>
      <c r="U158" s="2"/>
      <c r="V158" s="6">
        <f t="shared" si="62"/>
        <v>0</v>
      </c>
      <c r="W158" s="2"/>
      <c r="X158" s="7">
        <f t="shared" si="63"/>
        <v>0</v>
      </c>
      <c r="Y158" s="2"/>
      <c r="Z158" s="6">
        <f t="shared" si="64"/>
        <v>0</v>
      </c>
    </row>
    <row r="159" spans="1:26" s="24" customFormat="1" hidden="1" outlineLevel="2" x14ac:dyDescent="0.25">
      <c r="A159" s="27"/>
      <c r="B159" s="11" t="str">
        <f>CONCATENATE("          ", "6399", " - ", "DONATION-ON CAMPUS")</f>
        <v xml:space="preserve">          6399 - DONATION-ON CAMPUS</v>
      </c>
      <c r="C159" s="11"/>
      <c r="D159" s="7"/>
      <c r="E159" s="2"/>
      <c r="F159" s="6">
        <f t="shared" si="57"/>
        <v>0</v>
      </c>
      <c r="G159" s="2"/>
      <c r="H159" s="7">
        <v>1000</v>
      </c>
      <c r="I159" s="2"/>
      <c r="J159" s="6">
        <f t="shared" si="58"/>
        <v>1.2808820666263617E-3</v>
      </c>
      <c r="K159" s="2"/>
      <c r="L159" s="7">
        <f t="shared" si="59"/>
        <v>-1000</v>
      </c>
      <c r="M159" s="2"/>
      <c r="N159" s="6">
        <f t="shared" si="60"/>
        <v>-1</v>
      </c>
      <c r="O159" s="11"/>
      <c r="P159" s="7"/>
      <c r="Q159" s="2"/>
      <c r="R159" s="6">
        <f t="shared" si="61"/>
        <v>0</v>
      </c>
      <c r="S159" s="2"/>
      <c r="T159" s="7">
        <v>8000</v>
      </c>
      <c r="U159" s="2"/>
      <c r="V159" s="6">
        <f t="shared" si="62"/>
        <v>1.0436890860649503E-3</v>
      </c>
      <c r="W159" s="2"/>
      <c r="X159" s="7">
        <f t="shared" si="63"/>
        <v>-8000</v>
      </c>
      <c r="Y159" s="2"/>
      <c r="Z159" s="6">
        <f t="shared" si="64"/>
        <v>-1</v>
      </c>
    </row>
    <row r="160" spans="1:26" s="28" customFormat="1" outlineLevel="1" collapsed="1" x14ac:dyDescent="0.25">
      <c r="A160" s="29"/>
      <c r="B160" s="14" t="str">
        <f>CONCATENATE("     ","Employees' Appreciation                           ")</f>
        <v xml:space="preserve">     Employees' Appreciation                           </v>
      </c>
      <c r="C160" s="14"/>
      <c r="D160" s="1">
        <f>SUM(OSRRefD22_8x_0)</f>
        <v>0</v>
      </c>
      <c r="E160" s="1"/>
      <c r="F160" s="5">
        <f t="shared" ref="F160:F166" si="65">IF(D$12=0,0,D160/D$12)</f>
        <v>0</v>
      </c>
      <c r="G160" s="1"/>
      <c r="H160" s="1">
        <f>SUM(OSRRefH22_8x_0)</f>
        <v>425</v>
      </c>
      <c r="I160" s="1"/>
      <c r="J160" s="5">
        <f t="shared" ref="J160:J166" si="66">IF(H$12=0,0,H160/H$12)</f>
        <v>5.4437487831620365E-4</v>
      </c>
      <c r="K160" s="1"/>
      <c r="L160" s="1">
        <f t="shared" ref="L160:L166" si="67">+D160-H160</f>
        <v>-425</v>
      </c>
      <c r="M160" s="1"/>
      <c r="N160" s="5">
        <f t="shared" ref="N160:N166" si="68">IF(H160=0,0,L160/H160)</f>
        <v>-1</v>
      </c>
      <c r="O160" s="14"/>
      <c r="P160" s="1">
        <f>SUM(OSRRefP22_8x_0)</f>
        <v>186.03</v>
      </c>
      <c r="Q160" s="1"/>
      <c r="R160" s="5">
        <f t="shared" ref="R160:R166" si="69">IF(P$12=0,0,P160/P$12)</f>
        <v>4.5562097748341121E-5</v>
      </c>
      <c r="S160" s="1"/>
      <c r="T160" s="1">
        <f>SUM(OSRRefT22_8x_0)</f>
        <v>3350</v>
      </c>
      <c r="U160" s="1"/>
      <c r="V160" s="5">
        <f t="shared" ref="V160:V166" si="70">IF(T$12=0,0,T160/T$12)</f>
        <v>4.3704480478969798E-4</v>
      </c>
      <c r="W160" s="1"/>
      <c r="X160" s="1">
        <f t="shared" ref="X160:X166" si="71">+P160-T160</f>
        <v>-3163.97</v>
      </c>
      <c r="Y160" s="1"/>
      <c r="Z160" s="5">
        <f t="shared" ref="Z160:Z166" si="72">IF(T160=0,0,X160/T160)</f>
        <v>-0.94446865671641789</v>
      </c>
    </row>
    <row r="161" spans="1:26" s="24" customFormat="1" hidden="1" outlineLevel="2" x14ac:dyDescent="0.25">
      <c r="A161" s="27"/>
      <c r="B161" s="11" t="str">
        <f>CONCATENATE("          ", "6277", " - ", "EMPLOYEE APPRECIATION")</f>
        <v xml:space="preserve">          6277 - EMPLOYEE APPRECIATION</v>
      </c>
      <c r="C161" s="11"/>
      <c r="D161" s="7"/>
      <c r="E161" s="2"/>
      <c r="F161" s="6">
        <f t="shared" si="65"/>
        <v>0</v>
      </c>
      <c r="G161" s="2"/>
      <c r="H161" s="7">
        <v>425</v>
      </c>
      <c r="I161" s="2"/>
      <c r="J161" s="6">
        <f t="shared" si="66"/>
        <v>5.4437487831620365E-4</v>
      </c>
      <c r="K161" s="2"/>
      <c r="L161" s="7">
        <f t="shared" si="67"/>
        <v>-425</v>
      </c>
      <c r="M161" s="2"/>
      <c r="N161" s="6">
        <f t="shared" si="68"/>
        <v>-1</v>
      </c>
      <c r="O161" s="11"/>
      <c r="P161" s="7">
        <v>186.03</v>
      </c>
      <c r="Q161" s="2"/>
      <c r="R161" s="6">
        <f t="shared" si="69"/>
        <v>4.5562097748341121E-5</v>
      </c>
      <c r="S161" s="2"/>
      <c r="T161" s="7">
        <v>3350</v>
      </c>
      <c r="U161" s="2"/>
      <c r="V161" s="6">
        <f t="shared" si="70"/>
        <v>4.3704480478969798E-4</v>
      </c>
      <c r="W161" s="2"/>
      <c r="X161" s="7">
        <f t="shared" si="71"/>
        <v>-3163.97</v>
      </c>
      <c r="Y161" s="2"/>
      <c r="Z161" s="6">
        <f t="shared" si="72"/>
        <v>-0.94446865671641789</v>
      </c>
    </row>
    <row r="162" spans="1:26" s="28" customFormat="1" outlineLevel="1" collapsed="1" x14ac:dyDescent="0.25">
      <c r="A162" s="29"/>
      <c r="B162" s="14" t="str">
        <f>CONCATENATE("     ","Equipment Rental                                  ")</f>
        <v xml:space="preserve">     Equipment Rental                                  </v>
      </c>
      <c r="C162" s="14"/>
      <c r="D162" s="1">
        <f>SUM(OSRRefD22_9x_0)</f>
        <v>1960.61</v>
      </c>
      <c r="E162" s="1"/>
      <c r="F162" s="5">
        <f t="shared" si="65"/>
        <v>9.6594073678840375E-3</v>
      </c>
      <c r="G162" s="1"/>
      <c r="H162" s="1">
        <f>SUM(OSRRefH22_9x_0)</f>
        <v>3152</v>
      </c>
      <c r="I162" s="1"/>
      <c r="J162" s="5">
        <f t="shared" si="66"/>
        <v>4.037340274006292E-3</v>
      </c>
      <c r="K162" s="1"/>
      <c r="L162" s="1">
        <f t="shared" si="67"/>
        <v>-1191.3900000000001</v>
      </c>
      <c r="M162" s="1"/>
      <c r="N162" s="5">
        <f t="shared" si="68"/>
        <v>-0.37797906091370559</v>
      </c>
      <c r="O162" s="14"/>
      <c r="P162" s="1">
        <f>SUM(OSRRefP22_9x_0)</f>
        <v>12590.06</v>
      </c>
      <c r="Q162" s="1"/>
      <c r="R162" s="5">
        <f t="shared" si="69"/>
        <v>3.0835324645351802E-3</v>
      </c>
      <c r="S162" s="1"/>
      <c r="T162" s="1">
        <f>SUM(OSRRefT22_9x_0)</f>
        <v>24778</v>
      </c>
      <c r="U162" s="1"/>
      <c r="V162" s="5">
        <f t="shared" si="70"/>
        <v>3.2325660218146673E-3</v>
      </c>
      <c r="W162" s="1"/>
      <c r="X162" s="1">
        <f t="shared" si="71"/>
        <v>-12187.94</v>
      </c>
      <c r="Y162" s="1"/>
      <c r="Z162" s="5">
        <f t="shared" si="72"/>
        <v>-0.49188554362741144</v>
      </c>
    </row>
    <row r="163" spans="1:26" s="24" customFormat="1" hidden="1" outlineLevel="2" x14ac:dyDescent="0.25">
      <c r="A163" s="27"/>
      <c r="B163" s="11" t="str">
        <f>CONCATENATE("          ", "6351", " - ", "EQUIPMENT RENTAL")</f>
        <v xml:space="preserve">          6351 - EQUIPMENT RENTAL</v>
      </c>
      <c r="C163" s="11"/>
      <c r="D163" s="7">
        <v>1960.61</v>
      </c>
      <c r="E163" s="2"/>
      <c r="F163" s="6">
        <f t="shared" si="65"/>
        <v>9.6594073678840375E-3</v>
      </c>
      <c r="G163" s="2"/>
      <c r="H163" s="7">
        <v>3152</v>
      </c>
      <c r="I163" s="2"/>
      <c r="J163" s="6">
        <f t="shared" si="66"/>
        <v>4.037340274006292E-3</v>
      </c>
      <c r="K163" s="2"/>
      <c r="L163" s="7">
        <f t="shared" si="67"/>
        <v>-1191.3900000000001</v>
      </c>
      <c r="M163" s="2"/>
      <c r="N163" s="6">
        <f t="shared" si="68"/>
        <v>-0.37797906091370559</v>
      </c>
      <c r="O163" s="11"/>
      <c r="P163" s="7">
        <v>12590.06</v>
      </c>
      <c r="Q163" s="2"/>
      <c r="R163" s="6">
        <f t="shared" si="69"/>
        <v>3.0835324645351802E-3</v>
      </c>
      <c r="S163" s="2"/>
      <c r="T163" s="7">
        <v>24778</v>
      </c>
      <c r="U163" s="2"/>
      <c r="V163" s="6">
        <f t="shared" si="70"/>
        <v>3.2325660218146673E-3</v>
      </c>
      <c r="W163" s="2"/>
      <c r="X163" s="7">
        <f t="shared" si="71"/>
        <v>-12187.94</v>
      </c>
      <c r="Y163" s="2"/>
      <c r="Z163" s="6">
        <f t="shared" si="72"/>
        <v>-0.49188554362741144</v>
      </c>
    </row>
    <row r="164" spans="1:26" s="28" customFormat="1" outlineLevel="1" collapsed="1" x14ac:dyDescent="0.25">
      <c r="A164" s="29"/>
      <c r="B164" s="14" t="str">
        <f>CONCATENATE("     ","Freight out/Postage                               ")</f>
        <v xml:space="preserve">     Freight out/Postage                               </v>
      </c>
      <c r="C164" s="14"/>
      <c r="D164" s="1">
        <f>SUM(OSRRefD22_10x_0)</f>
        <v>4255.9500000000007</v>
      </c>
      <c r="E164" s="1"/>
      <c r="F164" s="5">
        <f t="shared" si="65"/>
        <v>2.0967940991500643E-2</v>
      </c>
      <c r="G164" s="1"/>
      <c r="H164" s="1">
        <f>SUM(OSRRefH22_10x_0)</f>
        <v>5588</v>
      </c>
      <c r="I164" s="1"/>
      <c r="J164" s="5">
        <f t="shared" si="66"/>
        <v>7.1575689883081085E-3</v>
      </c>
      <c r="K164" s="1"/>
      <c r="L164" s="1">
        <f t="shared" si="67"/>
        <v>-1332.0499999999993</v>
      </c>
      <c r="M164" s="1"/>
      <c r="N164" s="5">
        <f t="shared" si="68"/>
        <v>-0.23837687902648519</v>
      </c>
      <c r="O164" s="14"/>
      <c r="P164" s="1">
        <f>SUM(OSRRefP22_10x_0)</f>
        <v>-32446.00999999998</v>
      </c>
      <c r="Q164" s="1"/>
      <c r="R164" s="5">
        <f t="shared" si="69"/>
        <v>-7.9466122623429152E-3</v>
      </c>
      <c r="S164" s="1"/>
      <c r="T164" s="1">
        <f>SUM(OSRRefT22_10x_0)</f>
        <v>46353</v>
      </c>
      <c r="U164" s="1"/>
      <c r="V164" s="5">
        <f t="shared" si="70"/>
        <v>6.0472650257960801E-3</v>
      </c>
      <c r="W164" s="1"/>
      <c r="X164" s="1">
        <f t="shared" si="71"/>
        <v>-78799.00999999998</v>
      </c>
      <c r="Y164" s="1"/>
      <c r="Z164" s="5">
        <f t="shared" si="72"/>
        <v>-1.6999764848014147</v>
      </c>
    </row>
    <row r="165" spans="1:26" s="24" customFormat="1" hidden="1" outlineLevel="2" x14ac:dyDescent="0.25">
      <c r="A165" s="27"/>
      <c r="B165" s="11" t="str">
        <f>CONCATENATE("          ", "6305", " - ", "FREIGHT OUT")</f>
        <v xml:space="preserve">          6305 - FREIGHT OUT</v>
      </c>
      <c r="C165" s="11"/>
      <c r="D165" s="7">
        <v>26268.48</v>
      </c>
      <c r="E165" s="2"/>
      <c r="F165" s="6">
        <f t="shared" si="65"/>
        <v>0.12941785936780617</v>
      </c>
      <c r="G165" s="2"/>
      <c r="H165" s="7">
        <v>11268</v>
      </c>
      <c r="I165" s="2"/>
      <c r="J165" s="6">
        <f t="shared" si="66"/>
        <v>1.4432979126745842E-2</v>
      </c>
      <c r="K165" s="2"/>
      <c r="L165" s="7">
        <f t="shared" si="67"/>
        <v>15000.48</v>
      </c>
      <c r="M165" s="2"/>
      <c r="N165" s="6">
        <f t="shared" si="68"/>
        <v>1.3312460063897764</v>
      </c>
      <c r="O165" s="11"/>
      <c r="P165" s="7">
        <v>161875.11000000002</v>
      </c>
      <c r="Q165" s="2"/>
      <c r="R165" s="6">
        <f t="shared" si="69"/>
        <v>3.9646130112581154E-2</v>
      </c>
      <c r="S165" s="2"/>
      <c r="T165" s="7">
        <v>48643</v>
      </c>
      <c r="U165" s="2"/>
      <c r="V165" s="6">
        <f t="shared" si="70"/>
        <v>6.3460210266821724E-3</v>
      </c>
      <c r="W165" s="2"/>
      <c r="X165" s="7">
        <f t="shared" si="71"/>
        <v>113232.11000000002</v>
      </c>
      <c r="Y165" s="2"/>
      <c r="Z165" s="6">
        <f t="shared" si="72"/>
        <v>2.3278192134531177</v>
      </c>
    </row>
    <row r="166" spans="1:26" s="24" customFormat="1" hidden="1" outlineLevel="2" x14ac:dyDescent="0.25">
      <c r="A166" s="27"/>
      <c r="B166" s="11" t="str">
        <f>CONCATENATE("          ", "6307", " - ", "POSTAGE")</f>
        <v xml:space="preserve">          6307 - POSTAGE</v>
      </c>
      <c r="C166" s="11"/>
      <c r="D166" s="7">
        <v>-22012.53</v>
      </c>
      <c r="E166" s="2"/>
      <c r="F166" s="6">
        <f t="shared" si="65"/>
        <v>-0.10844991837630553</v>
      </c>
      <c r="G166" s="2"/>
      <c r="H166" s="7">
        <v>-5680</v>
      </c>
      <c r="I166" s="2"/>
      <c r="J166" s="6">
        <f t="shared" si="66"/>
        <v>-7.2754101384377339E-3</v>
      </c>
      <c r="K166" s="2"/>
      <c r="L166" s="7">
        <f t="shared" si="67"/>
        <v>-16332.529999999999</v>
      </c>
      <c r="M166" s="2"/>
      <c r="N166" s="6">
        <f t="shared" si="68"/>
        <v>2.8754454225352108</v>
      </c>
      <c r="O166" s="11"/>
      <c r="P166" s="7">
        <v>-194321.12</v>
      </c>
      <c r="Q166" s="2"/>
      <c r="R166" s="6">
        <f t="shared" si="69"/>
        <v>-4.7592742374924071E-2</v>
      </c>
      <c r="S166" s="2"/>
      <c r="T166" s="7">
        <v>-2290</v>
      </c>
      <c r="U166" s="2"/>
      <c r="V166" s="6">
        <f t="shared" si="70"/>
        <v>-2.9875600088609205E-4</v>
      </c>
      <c r="W166" s="2"/>
      <c r="X166" s="7">
        <f t="shared" si="71"/>
        <v>-192031.12</v>
      </c>
      <c r="Y166" s="2"/>
      <c r="Z166" s="6">
        <f t="shared" si="72"/>
        <v>83.856384279475975</v>
      </c>
    </row>
    <row r="167" spans="1:26" s="28" customFormat="1" outlineLevel="1" collapsed="1" x14ac:dyDescent="0.25">
      <c r="A167" s="29"/>
      <c r="B167" s="14" t="str">
        <f>CONCATENATE("     ","General                                           ")</f>
        <v xml:space="preserve">     General                                           </v>
      </c>
      <c r="C167" s="14"/>
      <c r="D167" s="1">
        <f>SUM(OSRRefD22_11x_0)</f>
        <v>-4.21</v>
      </c>
      <c r="E167" s="1"/>
      <c r="F167" s="5">
        <f t="shared" ref="F167:F170" si="73">IF(D$12=0,0,D167/D$12)</f>
        <v>-2.0741557484044147E-5</v>
      </c>
      <c r="G167" s="1"/>
      <c r="H167" s="1">
        <f>SUM(OSRRefH22_11x_0)</f>
        <v>625</v>
      </c>
      <c r="I167" s="1"/>
      <c r="J167" s="5">
        <f t="shared" ref="J167:J170" si="74">IF(H$12=0,0,H167/H$12)</f>
        <v>8.0055129164147598E-4</v>
      </c>
      <c r="K167" s="1"/>
      <c r="L167" s="1">
        <f t="shared" ref="L167:L170" si="75">+D167-H167</f>
        <v>-629.21</v>
      </c>
      <c r="M167" s="1"/>
      <c r="N167" s="5">
        <f t="shared" ref="N167:N170" si="76">IF(H167=0,0,L167/H167)</f>
        <v>-1.0067360000000001</v>
      </c>
      <c r="O167" s="14"/>
      <c r="P167" s="1">
        <f>SUM(OSRRefP22_11x_0)</f>
        <v>5298.28</v>
      </c>
      <c r="Q167" s="1"/>
      <c r="R167" s="5">
        <f t="shared" ref="R167:R170" si="77">IF(P$12=0,0,P167/P$12)</f>
        <v>1.2976442039352835E-3</v>
      </c>
      <c r="S167" s="1"/>
      <c r="T167" s="1">
        <f>SUM(OSRRefT22_11x_0)</f>
        <v>11850</v>
      </c>
      <c r="U167" s="1"/>
      <c r="V167" s="5">
        <f t="shared" ref="V167:V170" si="78">IF(T$12=0,0,T167/T$12)</f>
        <v>1.5459644587337076E-3</v>
      </c>
      <c r="W167" s="1"/>
      <c r="X167" s="1">
        <f t="shared" ref="X167:X170" si="79">+P167-T167</f>
        <v>-6551.72</v>
      </c>
      <c r="Y167" s="1"/>
      <c r="Z167" s="5">
        <f t="shared" ref="Z167:Z170" si="80">IF(T167=0,0,X167/T167)</f>
        <v>-0.55288776371308024</v>
      </c>
    </row>
    <row r="168" spans="1:26" s="24" customFormat="1" hidden="1" outlineLevel="2" x14ac:dyDescent="0.25">
      <c r="A168" s="27"/>
      <c r="B168" s="11" t="str">
        <f>CONCATENATE("          ", "6269", " - ", "ENTERTAINMENT")</f>
        <v xml:space="preserve">          6269 - ENTERTAINMENT</v>
      </c>
      <c r="C168" s="11"/>
      <c r="D168" s="7"/>
      <c r="E168" s="2"/>
      <c r="F168" s="6">
        <f t="shared" si="73"/>
        <v>0</v>
      </c>
      <c r="G168" s="2"/>
      <c r="H168" s="7">
        <v>125</v>
      </c>
      <c r="I168" s="2"/>
      <c r="J168" s="6">
        <f t="shared" si="74"/>
        <v>1.6011025832829521E-4</v>
      </c>
      <c r="K168" s="2"/>
      <c r="L168" s="7">
        <f t="shared" si="75"/>
        <v>-125</v>
      </c>
      <c r="M168" s="2"/>
      <c r="N168" s="6">
        <f t="shared" si="76"/>
        <v>-1</v>
      </c>
      <c r="O168" s="11"/>
      <c r="P168" s="7"/>
      <c r="Q168" s="2"/>
      <c r="R168" s="6">
        <f t="shared" si="77"/>
        <v>0</v>
      </c>
      <c r="S168" s="2"/>
      <c r="T168" s="7">
        <v>1500</v>
      </c>
      <c r="U168" s="2"/>
      <c r="V168" s="6">
        <f t="shared" si="78"/>
        <v>1.9569170363717818E-4</v>
      </c>
      <c r="W168" s="2"/>
      <c r="X168" s="7">
        <f t="shared" si="79"/>
        <v>-1500</v>
      </c>
      <c r="Y168" s="2"/>
      <c r="Z168" s="6">
        <f t="shared" si="80"/>
        <v>-1</v>
      </c>
    </row>
    <row r="169" spans="1:26" s="24" customFormat="1" hidden="1" outlineLevel="2" x14ac:dyDescent="0.25">
      <c r="A169" s="27"/>
      <c r="B169" s="11" t="str">
        <f>CONCATENATE("          ", "6276", " - ", "PROPERTY TAX")</f>
        <v xml:space="preserve">          6276 - PROPERTY TAX</v>
      </c>
      <c r="C169" s="11"/>
      <c r="D169" s="7"/>
      <c r="E169" s="2"/>
      <c r="F169" s="6">
        <f t="shared" si="73"/>
        <v>0</v>
      </c>
      <c r="G169" s="2"/>
      <c r="H169" s="7"/>
      <c r="I169" s="2"/>
      <c r="J169" s="6">
        <f t="shared" si="74"/>
        <v>0</v>
      </c>
      <c r="K169" s="2"/>
      <c r="L169" s="7">
        <f t="shared" si="75"/>
        <v>0</v>
      </c>
      <c r="M169" s="2"/>
      <c r="N169" s="6">
        <f t="shared" si="76"/>
        <v>0</v>
      </c>
      <c r="O169" s="11"/>
      <c r="P169" s="7"/>
      <c r="Q169" s="2"/>
      <c r="R169" s="6">
        <f t="shared" si="77"/>
        <v>0</v>
      </c>
      <c r="S169" s="2"/>
      <c r="T169" s="7">
        <v>150</v>
      </c>
      <c r="U169" s="2"/>
      <c r="V169" s="6">
        <f t="shared" si="78"/>
        <v>1.9569170363717818E-5</v>
      </c>
      <c r="W169" s="2"/>
      <c r="X169" s="7">
        <f t="shared" si="79"/>
        <v>-150</v>
      </c>
      <c r="Y169" s="2"/>
      <c r="Z169" s="6">
        <f t="shared" si="80"/>
        <v>-1</v>
      </c>
    </row>
    <row r="170" spans="1:26" s="24" customFormat="1" hidden="1" outlineLevel="2" x14ac:dyDescent="0.25">
      <c r="A170" s="27"/>
      <c r="B170" s="11" t="str">
        <f>CONCATENATE("          ", "6279", " - ", "GENERAL EXPENSE")</f>
        <v xml:space="preserve">          6279 - GENERAL EXPENSE</v>
      </c>
      <c r="C170" s="11"/>
      <c r="D170" s="7">
        <v>-4.21</v>
      </c>
      <c r="E170" s="2"/>
      <c r="F170" s="6">
        <f t="shared" si="73"/>
        <v>-2.0741557484044147E-5</v>
      </c>
      <c r="G170" s="2"/>
      <c r="H170" s="7">
        <v>500</v>
      </c>
      <c r="I170" s="2"/>
      <c r="J170" s="6">
        <f t="shared" si="74"/>
        <v>6.4044103331318083E-4</v>
      </c>
      <c r="K170" s="2"/>
      <c r="L170" s="7">
        <f t="shared" si="75"/>
        <v>-504.21</v>
      </c>
      <c r="M170" s="2"/>
      <c r="N170" s="6">
        <f t="shared" si="76"/>
        <v>-1.0084199999999999</v>
      </c>
      <c r="O170" s="11"/>
      <c r="P170" s="7">
        <v>5298.28</v>
      </c>
      <c r="Q170" s="2"/>
      <c r="R170" s="6">
        <f t="shared" si="77"/>
        <v>1.2976442039352835E-3</v>
      </c>
      <c r="S170" s="2"/>
      <c r="T170" s="7">
        <v>10200</v>
      </c>
      <c r="U170" s="2"/>
      <c r="V170" s="6">
        <f t="shared" si="78"/>
        <v>1.3307035847328118E-3</v>
      </c>
      <c r="W170" s="2"/>
      <c r="X170" s="7">
        <f t="shared" si="79"/>
        <v>-4901.72</v>
      </c>
      <c r="Y170" s="2"/>
      <c r="Z170" s="6">
        <f t="shared" si="80"/>
        <v>-0.48056078431372551</v>
      </c>
    </row>
    <row r="171" spans="1:26" s="28" customFormat="1" outlineLevel="1" collapsed="1" x14ac:dyDescent="0.25">
      <c r="A171" s="29"/>
      <c r="B171" s="14" t="str">
        <f>CONCATENATE("     ","Insurance                                         ")</f>
        <v xml:space="preserve">     Insurance                                         </v>
      </c>
      <c r="C171" s="14"/>
      <c r="D171" s="1">
        <f>SUM(OSRRefD22_12x_0)</f>
        <v>4288.28</v>
      </c>
      <c r="E171" s="1"/>
      <c r="F171" s="5">
        <f t="shared" ref="F171:F185" si="81">IF(D$12=0,0,D171/D$12)</f>
        <v>2.1127222358118012E-2</v>
      </c>
      <c r="G171" s="1"/>
      <c r="H171" s="1">
        <f>SUM(OSRRefH22_12x_0)</f>
        <v>4716</v>
      </c>
      <c r="I171" s="1"/>
      <c r="J171" s="5">
        <f t="shared" ref="J171:J185" si="82">IF(H$12=0,0,H171/H$12)</f>
        <v>6.0406398262099212E-3</v>
      </c>
      <c r="K171" s="1"/>
      <c r="L171" s="1">
        <f t="shared" ref="L171:L185" si="83">+D171-H171</f>
        <v>-427.72000000000025</v>
      </c>
      <c r="M171" s="1"/>
      <c r="N171" s="5">
        <f t="shared" ref="N171:N185" si="84">IF(H171=0,0,L171/H171)</f>
        <v>-9.0695504664970367E-2</v>
      </c>
      <c r="O171" s="14"/>
      <c r="P171" s="1">
        <f>SUM(OSRRefP22_12x_0)</f>
        <v>34306.239999999998</v>
      </c>
      <c r="Q171" s="1"/>
      <c r="R171" s="5">
        <f t="shared" ref="R171:R185" si="85">IF(P$12=0,0,P171/P$12)</f>
        <v>8.4022160955655005E-3</v>
      </c>
      <c r="S171" s="1"/>
      <c r="T171" s="1">
        <f>SUM(OSRRefT22_12x_0)</f>
        <v>37728</v>
      </c>
      <c r="U171" s="1"/>
      <c r="V171" s="5">
        <f t="shared" ref="V171:V185" si="86">IF(T$12=0,0,T171/T$12)</f>
        <v>4.9220377298823054E-3</v>
      </c>
      <c r="W171" s="1"/>
      <c r="X171" s="1">
        <f t="shared" ref="X171:X185" si="87">+P171-T171</f>
        <v>-3421.760000000002</v>
      </c>
      <c r="Y171" s="1"/>
      <c r="Z171" s="5">
        <f t="shared" ref="Z171:Z185" si="88">IF(T171=0,0,X171/T171)</f>
        <v>-9.0695504664970367E-2</v>
      </c>
    </row>
    <row r="172" spans="1:26" s="24" customFormat="1" hidden="1" outlineLevel="2" x14ac:dyDescent="0.25">
      <c r="A172" s="27"/>
      <c r="B172" s="11" t="str">
        <f>CONCATENATE("          ", "6314", " - ", "LIABILITY INSURANCE")</f>
        <v xml:space="preserve">          6314 - LIABILITY INSURANCE</v>
      </c>
      <c r="C172" s="11"/>
      <c r="D172" s="7">
        <v>4288.28</v>
      </c>
      <c r="E172" s="2"/>
      <c r="F172" s="6">
        <f t="shared" si="81"/>
        <v>2.1127222358118012E-2</v>
      </c>
      <c r="G172" s="2"/>
      <c r="H172" s="7">
        <v>4716</v>
      </c>
      <c r="I172" s="2"/>
      <c r="J172" s="6">
        <f t="shared" si="82"/>
        <v>6.0406398262099212E-3</v>
      </c>
      <c r="K172" s="2"/>
      <c r="L172" s="7">
        <f t="shared" si="83"/>
        <v>-427.72000000000025</v>
      </c>
      <c r="M172" s="2"/>
      <c r="N172" s="6">
        <f t="shared" si="84"/>
        <v>-9.0695504664970367E-2</v>
      </c>
      <c r="O172" s="11"/>
      <c r="P172" s="7">
        <v>34306.239999999998</v>
      </c>
      <c r="Q172" s="2"/>
      <c r="R172" s="6">
        <f t="shared" si="85"/>
        <v>8.4022160955655005E-3</v>
      </c>
      <c r="S172" s="2"/>
      <c r="T172" s="7">
        <v>37728</v>
      </c>
      <c r="U172" s="2"/>
      <c r="V172" s="6">
        <f t="shared" si="86"/>
        <v>4.9220377298823054E-3</v>
      </c>
      <c r="W172" s="2"/>
      <c r="X172" s="7">
        <f t="shared" si="87"/>
        <v>-3421.760000000002</v>
      </c>
      <c r="Y172" s="2"/>
      <c r="Z172" s="6">
        <f t="shared" si="88"/>
        <v>-9.0695504664970367E-2</v>
      </c>
    </row>
    <row r="173" spans="1:26" s="28" customFormat="1" outlineLevel="1" collapsed="1" x14ac:dyDescent="0.25">
      <c r="A173" s="29"/>
      <c r="B173" s="14" t="str">
        <f>CONCATENATE("     ","Interest                                          ")</f>
        <v xml:space="preserve">     Interest                                          </v>
      </c>
      <c r="C173" s="14"/>
      <c r="D173" s="1">
        <f>SUM(OSRRefD22_13x_0)</f>
        <v>4044</v>
      </c>
      <c r="E173" s="1"/>
      <c r="F173" s="5">
        <f t="shared" si="81"/>
        <v>1.9923719350469011E-2</v>
      </c>
      <c r="G173" s="1"/>
      <c r="H173" s="1">
        <f>SUM(OSRRefH22_13x_0)</f>
        <v>4044</v>
      </c>
      <c r="I173" s="1"/>
      <c r="J173" s="5">
        <f t="shared" si="82"/>
        <v>5.1798870774370058E-3</v>
      </c>
      <c r="K173" s="1"/>
      <c r="L173" s="1">
        <f t="shared" si="83"/>
        <v>0</v>
      </c>
      <c r="M173" s="1"/>
      <c r="N173" s="5">
        <f t="shared" si="84"/>
        <v>0</v>
      </c>
      <c r="O173" s="14"/>
      <c r="P173" s="1">
        <f>SUM(OSRRefP22_13x_0)</f>
        <v>32089.85</v>
      </c>
      <c r="Q173" s="1"/>
      <c r="R173" s="5">
        <f t="shared" si="85"/>
        <v>7.8593822632349857E-3</v>
      </c>
      <c r="S173" s="1"/>
      <c r="T173" s="1">
        <f>SUM(OSRRefT22_13x_0)</f>
        <v>32352</v>
      </c>
      <c r="U173" s="1"/>
      <c r="V173" s="5">
        <f t="shared" si="86"/>
        <v>4.2206786640466591E-3</v>
      </c>
      <c r="W173" s="1"/>
      <c r="X173" s="1">
        <f t="shared" si="87"/>
        <v>-262.15000000000146</v>
      </c>
      <c r="Y173" s="1"/>
      <c r="Z173" s="5">
        <f t="shared" si="88"/>
        <v>-8.1030539070227944E-3</v>
      </c>
    </row>
    <row r="174" spans="1:26" s="24" customFormat="1" hidden="1" outlineLevel="2" x14ac:dyDescent="0.25">
      <c r="A174" s="27"/>
      <c r="B174" s="11" t="str">
        <f>CONCATENATE("          ", "6401", " - ", "INTEREST EXPENSE")</f>
        <v xml:space="preserve">          6401 - INTEREST EXPENSE</v>
      </c>
      <c r="C174" s="11"/>
      <c r="D174" s="7">
        <v>4044</v>
      </c>
      <c r="E174" s="2"/>
      <c r="F174" s="6">
        <f t="shared" si="81"/>
        <v>1.9923719350469011E-2</v>
      </c>
      <c r="G174" s="2"/>
      <c r="H174" s="7">
        <v>4044</v>
      </c>
      <c r="I174" s="2"/>
      <c r="J174" s="6">
        <f t="shared" si="82"/>
        <v>5.1798870774370058E-3</v>
      </c>
      <c r="K174" s="2"/>
      <c r="L174" s="7">
        <f t="shared" si="83"/>
        <v>0</v>
      </c>
      <c r="M174" s="2"/>
      <c r="N174" s="6">
        <f t="shared" si="84"/>
        <v>0</v>
      </c>
      <c r="O174" s="11"/>
      <c r="P174" s="7">
        <v>32089.85</v>
      </c>
      <c r="Q174" s="2"/>
      <c r="R174" s="6">
        <f t="shared" si="85"/>
        <v>7.8593822632349857E-3</v>
      </c>
      <c r="S174" s="2"/>
      <c r="T174" s="7">
        <v>32352</v>
      </c>
      <c r="U174" s="2"/>
      <c r="V174" s="6">
        <f t="shared" si="86"/>
        <v>4.2206786640466591E-3</v>
      </c>
      <c r="W174" s="2"/>
      <c r="X174" s="7">
        <f t="shared" si="87"/>
        <v>-262.15000000000146</v>
      </c>
      <c r="Y174" s="2"/>
      <c r="Z174" s="6">
        <f t="shared" si="88"/>
        <v>-8.1030539070227944E-3</v>
      </c>
    </row>
    <row r="175" spans="1:26" s="28" customFormat="1" outlineLevel="1" collapsed="1" x14ac:dyDescent="0.25">
      <c r="A175" s="29"/>
      <c r="B175" s="14" t="str">
        <f>CONCATENATE("     ","Inventory Adjustment                              ")</f>
        <v xml:space="preserve">     Inventory Adjustment                              </v>
      </c>
      <c r="C175" s="14"/>
      <c r="D175" s="1">
        <f>SUM(OSRRefD22_14x_0)</f>
        <v>2100</v>
      </c>
      <c r="E175" s="1"/>
      <c r="F175" s="5">
        <f t="shared" si="81"/>
        <v>1.0346145063299931E-2</v>
      </c>
      <c r="G175" s="1"/>
      <c r="H175" s="1">
        <f>SUM(OSRRefH22_14x_0)</f>
        <v>3100</v>
      </c>
      <c r="I175" s="1"/>
      <c r="J175" s="5">
        <f t="shared" si="82"/>
        <v>3.9707344065417205E-3</v>
      </c>
      <c r="K175" s="1"/>
      <c r="L175" s="1">
        <f t="shared" si="83"/>
        <v>-1000</v>
      </c>
      <c r="M175" s="1"/>
      <c r="N175" s="5">
        <f t="shared" si="84"/>
        <v>-0.32258064516129031</v>
      </c>
      <c r="O175" s="14"/>
      <c r="P175" s="1">
        <f>SUM(OSRRefP22_14x_0)</f>
        <v>21800</v>
      </c>
      <c r="Q175" s="1"/>
      <c r="R175" s="5">
        <f t="shared" si="85"/>
        <v>5.3392126587853382E-3</v>
      </c>
      <c r="S175" s="1"/>
      <c r="T175" s="1">
        <f>SUM(OSRRefT22_14x_0)</f>
        <v>29800</v>
      </c>
      <c r="U175" s="1"/>
      <c r="V175" s="5">
        <f t="shared" si="86"/>
        <v>3.8877418455919399E-3</v>
      </c>
      <c r="W175" s="1"/>
      <c r="X175" s="1">
        <f t="shared" si="87"/>
        <v>-8000</v>
      </c>
      <c r="Y175" s="1"/>
      <c r="Z175" s="5">
        <f t="shared" si="88"/>
        <v>-0.26845637583892618</v>
      </c>
    </row>
    <row r="176" spans="1:26" s="24" customFormat="1" hidden="1" outlineLevel="2" x14ac:dyDescent="0.25">
      <c r="A176" s="27"/>
      <c r="B176" s="11" t="str">
        <f>CONCATENATE("          ", "6408", " - ", "INVENTORY ADJUSTMENT")</f>
        <v xml:space="preserve">          6408 - INVENTORY ADJUSTMENT</v>
      </c>
      <c r="C176" s="11"/>
      <c r="D176" s="7">
        <v>2100</v>
      </c>
      <c r="E176" s="2"/>
      <c r="F176" s="6">
        <f t="shared" si="81"/>
        <v>1.0346145063299931E-2</v>
      </c>
      <c r="G176" s="2"/>
      <c r="H176" s="7">
        <v>3100</v>
      </c>
      <c r="I176" s="2"/>
      <c r="J176" s="6">
        <f t="shared" si="82"/>
        <v>3.9707344065417205E-3</v>
      </c>
      <c r="K176" s="2"/>
      <c r="L176" s="7">
        <f t="shared" si="83"/>
        <v>-1000</v>
      </c>
      <c r="M176" s="2"/>
      <c r="N176" s="6">
        <f t="shared" si="84"/>
        <v>-0.32258064516129031</v>
      </c>
      <c r="O176" s="11"/>
      <c r="P176" s="7">
        <v>21800</v>
      </c>
      <c r="Q176" s="2"/>
      <c r="R176" s="6">
        <f t="shared" si="85"/>
        <v>5.3392126587853382E-3</v>
      </c>
      <c r="S176" s="2"/>
      <c r="T176" s="7">
        <v>29800</v>
      </c>
      <c r="U176" s="2"/>
      <c r="V176" s="6">
        <f t="shared" si="86"/>
        <v>3.8877418455919399E-3</v>
      </c>
      <c r="W176" s="2"/>
      <c r="X176" s="7">
        <f t="shared" si="87"/>
        <v>-8000</v>
      </c>
      <c r="Y176" s="2"/>
      <c r="Z176" s="6">
        <f t="shared" si="88"/>
        <v>-0.26845637583892618</v>
      </c>
    </row>
    <row r="177" spans="1:26" s="28" customFormat="1" outlineLevel="1" collapsed="1" x14ac:dyDescent="0.25">
      <c r="A177" s="29"/>
      <c r="B177" s="14" t="str">
        <f>CONCATENATE("     ","Professional Services                             ")</f>
        <v xml:space="preserve">     Professional Services                             </v>
      </c>
      <c r="C177" s="14"/>
      <c r="D177" s="1">
        <f>SUM(OSRRefD22_15x_0)</f>
        <v>0</v>
      </c>
      <c r="E177" s="1"/>
      <c r="F177" s="5">
        <f t="shared" si="81"/>
        <v>0</v>
      </c>
      <c r="G177" s="1"/>
      <c r="H177" s="1">
        <f>SUM(OSRRefH22_15x_0)</f>
        <v>0</v>
      </c>
      <c r="I177" s="1"/>
      <c r="J177" s="5">
        <f t="shared" si="82"/>
        <v>0</v>
      </c>
      <c r="K177" s="1"/>
      <c r="L177" s="1">
        <f t="shared" si="83"/>
        <v>0</v>
      </c>
      <c r="M177" s="1"/>
      <c r="N177" s="5">
        <f t="shared" si="84"/>
        <v>0</v>
      </c>
      <c r="O177" s="14"/>
      <c r="P177" s="1">
        <f>SUM(OSRRefP22_15x_0)</f>
        <v>0</v>
      </c>
      <c r="Q177" s="1"/>
      <c r="R177" s="5">
        <f t="shared" si="85"/>
        <v>0</v>
      </c>
      <c r="S177" s="1"/>
      <c r="T177" s="1">
        <f>SUM(OSRRefT22_15x_0)</f>
        <v>7050</v>
      </c>
      <c r="U177" s="1"/>
      <c r="V177" s="5">
        <f t="shared" si="86"/>
        <v>9.1975100709473746E-4</v>
      </c>
      <c r="W177" s="1"/>
      <c r="X177" s="1">
        <f t="shared" si="87"/>
        <v>-7050</v>
      </c>
      <c r="Y177" s="1"/>
      <c r="Z177" s="5">
        <f t="shared" si="88"/>
        <v>-1</v>
      </c>
    </row>
    <row r="178" spans="1:26" s="24" customFormat="1" hidden="1" outlineLevel="2" x14ac:dyDescent="0.25">
      <c r="A178" s="27"/>
      <c r="B178" s="11" t="str">
        <f>CONCATENATE("          ", "6336", " - ", "PROFESSIONAL SERVICES")</f>
        <v xml:space="preserve">          6336 - PROFESSIONAL SERVICES</v>
      </c>
      <c r="C178" s="11"/>
      <c r="D178" s="7"/>
      <c r="E178" s="2"/>
      <c r="F178" s="6">
        <f t="shared" si="81"/>
        <v>0</v>
      </c>
      <c r="G178" s="2"/>
      <c r="H178" s="7">
        <v>0</v>
      </c>
      <c r="I178" s="2"/>
      <c r="J178" s="6">
        <f t="shared" si="82"/>
        <v>0</v>
      </c>
      <c r="K178" s="2"/>
      <c r="L178" s="7">
        <f t="shared" si="83"/>
        <v>0</v>
      </c>
      <c r="M178" s="2"/>
      <c r="N178" s="6">
        <f t="shared" si="84"/>
        <v>0</v>
      </c>
      <c r="O178" s="11"/>
      <c r="P178" s="7"/>
      <c r="Q178" s="2"/>
      <c r="R178" s="6">
        <f t="shared" si="85"/>
        <v>0</v>
      </c>
      <c r="S178" s="2"/>
      <c r="T178" s="7">
        <v>7050</v>
      </c>
      <c r="U178" s="2"/>
      <c r="V178" s="6">
        <f t="shared" si="86"/>
        <v>9.1975100709473746E-4</v>
      </c>
      <c r="W178" s="2"/>
      <c r="X178" s="7">
        <f t="shared" si="87"/>
        <v>-7050</v>
      </c>
      <c r="Y178" s="2"/>
      <c r="Z178" s="6">
        <f t="shared" si="88"/>
        <v>-1</v>
      </c>
    </row>
    <row r="179" spans="1:26" s="28" customFormat="1" outlineLevel="1" collapsed="1" x14ac:dyDescent="0.25">
      <c r="A179" s="29"/>
      <c r="B179" s="14" t="str">
        <f>CONCATENATE("     ","Rent                                              ")</f>
        <v xml:space="preserve">     Rent                                              </v>
      </c>
      <c r="C179" s="14"/>
      <c r="D179" s="1">
        <f>SUM(OSRRefD22_16x_0)</f>
        <v>6100</v>
      </c>
      <c r="E179" s="1"/>
      <c r="F179" s="5">
        <f t="shared" si="81"/>
        <v>3.0053088041014087E-2</v>
      </c>
      <c r="G179" s="1"/>
      <c r="H179" s="1">
        <f>SUM(OSRRefH22_16x_0)</f>
        <v>6100</v>
      </c>
      <c r="I179" s="1"/>
      <c r="J179" s="5">
        <f t="shared" si="82"/>
        <v>7.8133806064208059E-3</v>
      </c>
      <c r="K179" s="1"/>
      <c r="L179" s="1">
        <f t="shared" si="83"/>
        <v>0</v>
      </c>
      <c r="M179" s="1"/>
      <c r="N179" s="5">
        <f t="shared" si="84"/>
        <v>0</v>
      </c>
      <c r="O179" s="14"/>
      <c r="P179" s="1">
        <f>SUM(OSRRefP22_16x_0)</f>
        <v>48800</v>
      </c>
      <c r="Q179" s="1"/>
      <c r="R179" s="5">
        <f t="shared" si="85"/>
        <v>1.1951998979299289E-2</v>
      </c>
      <c r="S179" s="1"/>
      <c r="T179" s="1">
        <f>SUM(OSRRefT22_16x_0)</f>
        <v>48801</v>
      </c>
      <c r="U179" s="1"/>
      <c r="V179" s="5">
        <f t="shared" si="86"/>
        <v>6.3666338861319552E-3</v>
      </c>
      <c r="W179" s="1"/>
      <c r="X179" s="1">
        <f t="shared" si="87"/>
        <v>-1</v>
      </c>
      <c r="Y179" s="1"/>
      <c r="Z179" s="5">
        <f t="shared" si="88"/>
        <v>-2.0491383373291532E-5</v>
      </c>
    </row>
    <row r="180" spans="1:26" s="24" customFormat="1" hidden="1" outlineLevel="2" x14ac:dyDescent="0.25">
      <c r="A180" s="27"/>
      <c r="B180" s="11" t="str">
        <f>CONCATENATE("          ", "6273", " - ", "RENT")</f>
        <v xml:space="preserve">          6273 - RENT</v>
      </c>
      <c r="C180" s="11"/>
      <c r="D180" s="7">
        <v>6100</v>
      </c>
      <c r="E180" s="2"/>
      <c r="F180" s="6">
        <f t="shared" si="81"/>
        <v>3.0053088041014087E-2</v>
      </c>
      <c r="G180" s="2"/>
      <c r="H180" s="7">
        <v>6100</v>
      </c>
      <c r="I180" s="2"/>
      <c r="J180" s="6">
        <f t="shared" si="82"/>
        <v>7.8133806064208059E-3</v>
      </c>
      <c r="K180" s="2"/>
      <c r="L180" s="7">
        <f t="shared" si="83"/>
        <v>0</v>
      </c>
      <c r="M180" s="2"/>
      <c r="N180" s="6">
        <f t="shared" si="84"/>
        <v>0</v>
      </c>
      <c r="O180" s="11"/>
      <c r="P180" s="7">
        <v>48800</v>
      </c>
      <c r="Q180" s="2"/>
      <c r="R180" s="6">
        <f t="shared" si="85"/>
        <v>1.1951998979299289E-2</v>
      </c>
      <c r="S180" s="2"/>
      <c r="T180" s="7">
        <v>48801</v>
      </c>
      <c r="U180" s="2"/>
      <c r="V180" s="6">
        <f t="shared" si="86"/>
        <v>6.3666338861319552E-3</v>
      </c>
      <c r="W180" s="2"/>
      <c r="X180" s="7">
        <f t="shared" si="87"/>
        <v>-1</v>
      </c>
      <c r="Y180" s="2"/>
      <c r="Z180" s="6">
        <f t="shared" si="88"/>
        <v>-2.0491383373291532E-5</v>
      </c>
    </row>
    <row r="181" spans="1:26" s="28" customFormat="1" outlineLevel="1" collapsed="1" x14ac:dyDescent="0.25">
      <c r="A181" s="29"/>
      <c r="B181" s="14" t="str">
        <f>CONCATENATE("     ","Repair and Maintenance                            ")</f>
        <v xml:space="preserve">     Repair and Maintenance                            </v>
      </c>
      <c r="C181" s="14"/>
      <c r="D181" s="1">
        <f>SUM(OSRRefD22_17x_0)</f>
        <v>16237.08</v>
      </c>
      <c r="E181" s="1"/>
      <c r="F181" s="5">
        <f t="shared" si="81"/>
        <v>7.9995802421145734E-2</v>
      </c>
      <c r="G181" s="1"/>
      <c r="H181" s="1">
        <f>SUM(OSRRefH22_17x_0)</f>
        <v>14925</v>
      </c>
      <c r="I181" s="1"/>
      <c r="J181" s="5">
        <f t="shared" si="82"/>
        <v>1.9117164844398446E-2</v>
      </c>
      <c r="K181" s="1"/>
      <c r="L181" s="1">
        <f t="shared" si="83"/>
        <v>1312.08</v>
      </c>
      <c r="M181" s="1"/>
      <c r="N181" s="5">
        <f t="shared" si="84"/>
        <v>8.7911557788944716E-2</v>
      </c>
      <c r="O181" s="14"/>
      <c r="P181" s="1">
        <f>SUM(OSRRefP22_17x_0)</f>
        <v>131356.25</v>
      </c>
      <c r="Q181" s="1"/>
      <c r="R181" s="5">
        <f t="shared" si="85"/>
        <v>3.2171511596815208E-2</v>
      </c>
      <c r="S181" s="1"/>
      <c r="T181" s="1">
        <f>SUM(OSRRefT22_17x_0)</f>
        <v>164342</v>
      </c>
      <c r="U181" s="1"/>
      <c r="V181" s="5">
        <f t="shared" si="86"/>
        <v>2.1440243972760759E-2</v>
      </c>
      <c r="W181" s="1"/>
      <c r="X181" s="1">
        <f t="shared" si="87"/>
        <v>-32985.75</v>
      </c>
      <c r="Y181" s="1"/>
      <c r="Z181" s="5">
        <f t="shared" si="88"/>
        <v>-0.20071405970476203</v>
      </c>
    </row>
    <row r="182" spans="1:26" s="24" customFormat="1" hidden="1" outlineLevel="2" x14ac:dyDescent="0.25">
      <c r="A182" s="27"/>
      <c r="B182" s="11" t="str">
        <f>CONCATENATE("          ", "6371", " - ", "COMPUTER SOFTWARE MAINTENANCE")</f>
        <v xml:space="preserve">          6371 - COMPUTER SOFTWARE MAINTENANCE</v>
      </c>
      <c r="C182" s="11"/>
      <c r="D182" s="7">
        <v>1331.25</v>
      </c>
      <c r="E182" s="2"/>
      <c r="F182" s="6">
        <f t="shared" si="81"/>
        <v>6.5587169597704923E-3</v>
      </c>
      <c r="G182" s="2"/>
      <c r="H182" s="7"/>
      <c r="I182" s="2"/>
      <c r="J182" s="6">
        <f t="shared" si="82"/>
        <v>0</v>
      </c>
      <c r="K182" s="2"/>
      <c r="L182" s="7">
        <f t="shared" si="83"/>
        <v>1331.25</v>
      </c>
      <c r="M182" s="2"/>
      <c r="N182" s="6">
        <f t="shared" si="84"/>
        <v>0</v>
      </c>
      <c r="O182" s="11"/>
      <c r="P182" s="7">
        <v>59767.719999999994</v>
      </c>
      <c r="Q182" s="2"/>
      <c r="R182" s="6">
        <f t="shared" si="85"/>
        <v>1.4638191156455854E-2</v>
      </c>
      <c r="S182" s="2"/>
      <c r="T182" s="7">
        <v>45043</v>
      </c>
      <c r="U182" s="2"/>
      <c r="V182" s="6">
        <f t="shared" si="86"/>
        <v>5.8763609379529451E-3</v>
      </c>
      <c r="W182" s="2"/>
      <c r="X182" s="7">
        <f t="shared" si="87"/>
        <v>14724.719999999994</v>
      </c>
      <c r="Y182" s="2"/>
      <c r="Z182" s="6">
        <f t="shared" si="88"/>
        <v>0.32690362542459417</v>
      </c>
    </row>
    <row r="183" spans="1:26" s="24" customFormat="1" hidden="1" outlineLevel="2" x14ac:dyDescent="0.25">
      <c r="A183" s="27"/>
      <c r="B183" s="11" t="str">
        <f>CONCATENATE("          ", "6372", " - ", "COMPUTER HARDWARE MAINTENANCE")</f>
        <v xml:space="preserve">          6372 - COMPUTER HARDWARE MAINTENANCE</v>
      </c>
      <c r="C183" s="11"/>
      <c r="D183" s="7">
        <v>-1.1499999999999999</v>
      </c>
      <c r="E183" s="2"/>
      <c r="F183" s="6">
        <f t="shared" si="81"/>
        <v>-5.6657461060928187E-6</v>
      </c>
      <c r="G183" s="2"/>
      <c r="H183" s="7"/>
      <c r="I183" s="2"/>
      <c r="J183" s="6">
        <f t="shared" si="82"/>
        <v>0</v>
      </c>
      <c r="K183" s="2"/>
      <c r="L183" s="7">
        <f t="shared" si="83"/>
        <v>-1.1499999999999999</v>
      </c>
      <c r="M183" s="2"/>
      <c r="N183" s="6">
        <f t="shared" si="84"/>
        <v>0</v>
      </c>
      <c r="O183" s="11"/>
      <c r="P183" s="7">
        <v>-1.1499999999999999</v>
      </c>
      <c r="Q183" s="2"/>
      <c r="R183" s="6">
        <f t="shared" si="85"/>
        <v>-2.8165571365152012E-7</v>
      </c>
      <c r="S183" s="2"/>
      <c r="T183" s="7">
        <v>437</v>
      </c>
      <c r="U183" s="2"/>
      <c r="V183" s="6">
        <f t="shared" si="86"/>
        <v>5.7011516326297913E-5</v>
      </c>
      <c r="W183" s="2"/>
      <c r="X183" s="7">
        <f t="shared" si="87"/>
        <v>-438.15</v>
      </c>
      <c r="Y183" s="2"/>
      <c r="Z183" s="6">
        <f t="shared" si="88"/>
        <v>-1.0026315789473683</v>
      </c>
    </row>
    <row r="184" spans="1:26" s="24" customFormat="1" hidden="1" outlineLevel="2" x14ac:dyDescent="0.25">
      <c r="A184" s="27"/>
      <c r="B184" s="11" t="str">
        <f>CONCATENATE("          ", "6373", " - ", "MAINTENANCE CONTRACTS")</f>
        <v xml:space="preserve">          6373 - MAINTENANCE CONTRACTS</v>
      </c>
      <c r="C184" s="11"/>
      <c r="D184" s="7">
        <v>3372.5</v>
      </c>
      <c r="E184" s="2"/>
      <c r="F184" s="6">
        <f t="shared" si="81"/>
        <v>1.6615416298085248E-2</v>
      </c>
      <c r="G184" s="2"/>
      <c r="H184" s="7">
        <v>6040</v>
      </c>
      <c r="I184" s="2"/>
      <c r="J184" s="6">
        <f t="shared" si="82"/>
        <v>7.7365276824232238E-3</v>
      </c>
      <c r="K184" s="2"/>
      <c r="L184" s="7">
        <f t="shared" si="83"/>
        <v>-2667.5</v>
      </c>
      <c r="M184" s="2"/>
      <c r="N184" s="6">
        <f t="shared" si="84"/>
        <v>-0.44163907284768211</v>
      </c>
      <c r="O184" s="11"/>
      <c r="P184" s="7">
        <v>44383.28</v>
      </c>
      <c r="Q184" s="2"/>
      <c r="R184" s="6">
        <f t="shared" si="85"/>
        <v>1.0870264697908905E-2</v>
      </c>
      <c r="S184" s="2"/>
      <c r="T184" s="7">
        <v>48951</v>
      </c>
      <c r="U184" s="2"/>
      <c r="V184" s="6">
        <f t="shared" si="86"/>
        <v>6.3862030564956727E-3</v>
      </c>
      <c r="W184" s="2"/>
      <c r="X184" s="7">
        <f t="shared" si="87"/>
        <v>-4567.7200000000012</v>
      </c>
      <c r="Y184" s="2"/>
      <c r="Z184" s="6">
        <f t="shared" si="88"/>
        <v>-9.3312087597801907E-2</v>
      </c>
    </row>
    <row r="185" spans="1:26" s="24" customFormat="1" hidden="1" outlineLevel="2" x14ac:dyDescent="0.25">
      <c r="A185" s="27"/>
      <c r="B185" s="11" t="str">
        <f>CONCATENATE("          ", "6375", " - ", "OUTSIDE REPAIRS &amp; MAINTENANCE")</f>
        <v xml:space="preserve">          6375 - OUTSIDE REPAIRS &amp; MAINTENANCE</v>
      </c>
      <c r="C185" s="11"/>
      <c r="D185" s="7">
        <v>11534.48</v>
      </c>
      <c r="E185" s="2"/>
      <c r="F185" s="6">
        <f t="shared" si="81"/>
        <v>5.6827334909396086E-2</v>
      </c>
      <c r="G185" s="2"/>
      <c r="H185" s="7">
        <v>8885</v>
      </c>
      <c r="I185" s="2"/>
      <c r="J185" s="6">
        <f t="shared" si="82"/>
        <v>1.1380637161975222E-2</v>
      </c>
      <c r="K185" s="2"/>
      <c r="L185" s="7">
        <f t="shared" si="83"/>
        <v>2649.4799999999996</v>
      </c>
      <c r="M185" s="2"/>
      <c r="N185" s="6">
        <f t="shared" si="84"/>
        <v>0.29819696117051203</v>
      </c>
      <c r="O185" s="11"/>
      <c r="P185" s="7">
        <v>27206.400000000001</v>
      </c>
      <c r="Q185" s="2"/>
      <c r="R185" s="6">
        <f t="shared" si="85"/>
        <v>6.6633373981641025E-3</v>
      </c>
      <c r="S185" s="2"/>
      <c r="T185" s="7">
        <v>69911</v>
      </c>
      <c r="U185" s="2"/>
      <c r="V185" s="6">
        <f t="shared" si="86"/>
        <v>9.1206684619858421E-3</v>
      </c>
      <c r="W185" s="2"/>
      <c r="X185" s="7">
        <f t="shared" si="87"/>
        <v>-42704.6</v>
      </c>
      <c r="Y185" s="2"/>
      <c r="Z185" s="6">
        <f t="shared" si="88"/>
        <v>-0.61084235671067499</v>
      </c>
    </row>
    <row r="186" spans="1:26" s="28" customFormat="1" outlineLevel="1" collapsed="1" x14ac:dyDescent="0.25">
      <c r="A186" s="29"/>
      <c r="B186" s="14" t="str">
        <f>CONCATENATE("     ","Royalty &amp; Commissions                             ")</f>
        <v xml:space="preserve">     Royalty &amp; Commissions                             </v>
      </c>
      <c r="C186" s="14"/>
      <c r="D186" s="1">
        <f>SUM(OSRRefD22_18x_0)</f>
        <v>468.34</v>
      </c>
      <c r="E186" s="1"/>
      <c r="F186" s="5">
        <f t="shared" ref="F186:F190" si="89">IF(D$12=0,0,D186/D$12)</f>
        <v>2.3073874185456618E-3</v>
      </c>
      <c r="G186" s="1"/>
      <c r="H186" s="1">
        <f>SUM(OSRRefH22_18x_0)</f>
        <v>17708</v>
      </c>
      <c r="I186" s="1"/>
      <c r="J186" s="5">
        <f t="shared" ref="J186:J190" si="90">IF(H$12=0,0,H186/H$12)</f>
        <v>2.2681859635819611E-2</v>
      </c>
      <c r="K186" s="1"/>
      <c r="L186" s="1">
        <f t="shared" ref="L186:L190" si="91">+D186-H186</f>
        <v>-17239.66</v>
      </c>
      <c r="M186" s="1"/>
      <c r="N186" s="5">
        <f t="shared" ref="N186:N190" si="92">IF(H186=0,0,L186/H186)</f>
        <v>-0.97355206686243501</v>
      </c>
      <c r="O186" s="14"/>
      <c r="P186" s="1">
        <f>SUM(OSRRefP22_18x_0)</f>
        <v>37019.69</v>
      </c>
      <c r="Q186" s="1"/>
      <c r="R186" s="5">
        <f t="shared" ref="R186:R190" si="93">IF(P$12=0,0,P186/P$12)</f>
        <v>9.0667888748765593E-3</v>
      </c>
      <c r="S186" s="1"/>
      <c r="T186" s="1">
        <f>SUM(OSRRefT22_18x_0)</f>
        <v>75741</v>
      </c>
      <c r="U186" s="1"/>
      <c r="V186" s="5">
        <f t="shared" ref="V186:V190" si="94">IF(T$12=0,0,T186/T$12)</f>
        <v>9.8812568834556747E-3</v>
      </c>
      <c r="W186" s="1"/>
      <c r="X186" s="1">
        <f t="shared" ref="X186:X190" si="95">+P186-T186</f>
        <v>-38721.31</v>
      </c>
      <c r="Y186" s="1"/>
      <c r="Z186" s="5">
        <f t="shared" ref="Z186:Z190" si="96">IF(T186=0,0,X186/T186)</f>
        <v>-0.51123314981317913</v>
      </c>
    </row>
    <row r="187" spans="1:26" s="24" customFormat="1" hidden="1" outlineLevel="2" x14ac:dyDescent="0.25">
      <c r="A187" s="27"/>
      <c r="B187" s="11" t="str">
        <f>CONCATENATE("          ", "6252", " - ", "ROYALTY DUE CSTV")</f>
        <v xml:space="preserve">          6252 - ROYALTY DUE CSTV</v>
      </c>
      <c r="C187" s="11"/>
      <c r="D187" s="7"/>
      <c r="E187" s="2"/>
      <c r="F187" s="6">
        <f t="shared" si="89"/>
        <v>0</v>
      </c>
      <c r="G187" s="2"/>
      <c r="H187" s="7">
        <v>1085</v>
      </c>
      <c r="I187" s="2"/>
      <c r="J187" s="6">
        <f t="shared" si="90"/>
        <v>1.3897570422896023E-3</v>
      </c>
      <c r="K187" s="2"/>
      <c r="L187" s="7">
        <f t="shared" si="91"/>
        <v>-1085</v>
      </c>
      <c r="M187" s="2"/>
      <c r="N187" s="6">
        <f t="shared" si="92"/>
        <v>-1</v>
      </c>
      <c r="O187" s="11"/>
      <c r="P187" s="7"/>
      <c r="Q187" s="2"/>
      <c r="R187" s="6">
        <f t="shared" si="93"/>
        <v>0</v>
      </c>
      <c r="S187" s="2"/>
      <c r="T187" s="7">
        <v>8680</v>
      </c>
      <c r="U187" s="2"/>
      <c r="V187" s="6">
        <f t="shared" si="94"/>
        <v>1.132402658380471E-3</v>
      </c>
      <c r="W187" s="2"/>
      <c r="X187" s="7">
        <f t="shared" si="95"/>
        <v>-8680</v>
      </c>
      <c r="Y187" s="2"/>
      <c r="Z187" s="6">
        <f t="shared" si="96"/>
        <v>-1</v>
      </c>
    </row>
    <row r="188" spans="1:26" s="24" customFormat="1" hidden="1" outlineLevel="2" x14ac:dyDescent="0.25">
      <c r="A188" s="27"/>
      <c r="B188" s="11" t="str">
        <f>CONCATENATE("          ", "6253", " - ", "ROYALTY DUE ATHLETICS-LRG")</f>
        <v xml:space="preserve">          6253 - ROYALTY DUE ATHLETICS-LRG</v>
      </c>
      <c r="C188" s="11"/>
      <c r="D188" s="7"/>
      <c r="E188" s="2"/>
      <c r="F188" s="6">
        <f t="shared" si="89"/>
        <v>0</v>
      </c>
      <c r="G188" s="2"/>
      <c r="H188" s="7">
        <v>4037</v>
      </c>
      <c r="I188" s="2"/>
      <c r="J188" s="6">
        <f t="shared" si="90"/>
        <v>5.1709209029706217E-3</v>
      </c>
      <c r="K188" s="2"/>
      <c r="L188" s="7">
        <f t="shared" si="91"/>
        <v>-4037</v>
      </c>
      <c r="M188" s="2"/>
      <c r="N188" s="6">
        <f t="shared" si="92"/>
        <v>-1</v>
      </c>
      <c r="O188" s="11"/>
      <c r="P188" s="7">
        <v>26197.58</v>
      </c>
      <c r="Q188" s="2"/>
      <c r="R188" s="6">
        <f t="shared" si="93"/>
        <v>6.4162592094285141E-3</v>
      </c>
      <c r="S188" s="2"/>
      <c r="T188" s="7">
        <v>32296</v>
      </c>
      <c r="U188" s="2"/>
      <c r="V188" s="6">
        <f t="shared" si="94"/>
        <v>4.2133728404442046E-3</v>
      </c>
      <c r="W188" s="2"/>
      <c r="X188" s="7">
        <f t="shared" si="95"/>
        <v>-6098.4199999999983</v>
      </c>
      <c r="Y188" s="2"/>
      <c r="Z188" s="6">
        <f t="shared" si="96"/>
        <v>-0.18882895714639578</v>
      </c>
    </row>
    <row r="189" spans="1:26" s="24" customFormat="1" hidden="1" outlineLevel="2" x14ac:dyDescent="0.25">
      <c r="A189" s="27"/>
      <c r="B189" s="11" t="str">
        <f>CONCATENATE("          ", "6254", " - ", "ROYALTY &amp; COMMISSIONS")</f>
        <v xml:space="preserve">          6254 - ROYALTY &amp; COMMISSIONS</v>
      </c>
      <c r="C189" s="11"/>
      <c r="D189" s="7"/>
      <c r="E189" s="2"/>
      <c r="F189" s="6">
        <f t="shared" si="89"/>
        <v>0</v>
      </c>
      <c r="G189" s="2"/>
      <c r="H189" s="7">
        <v>1149</v>
      </c>
      <c r="I189" s="2"/>
      <c r="J189" s="6">
        <f t="shared" si="90"/>
        <v>1.4717334945536895E-3</v>
      </c>
      <c r="K189" s="2"/>
      <c r="L189" s="7">
        <f t="shared" si="91"/>
        <v>-1149</v>
      </c>
      <c r="M189" s="2"/>
      <c r="N189" s="6">
        <f t="shared" si="92"/>
        <v>-1</v>
      </c>
      <c r="O189" s="11"/>
      <c r="P189" s="7">
        <v>185.7</v>
      </c>
      <c r="Q189" s="2"/>
      <c r="R189" s="6">
        <f t="shared" si="93"/>
        <v>4.5481274804423724E-5</v>
      </c>
      <c r="S189" s="2"/>
      <c r="T189" s="7">
        <v>9192</v>
      </c>
      <c r="U189" s="2"/>
      <c r="V189" s="6">
        <f t="shared" si="94"/>
        <v>1.199198759888628E-3</v>
      </c>
      <c r="W189" s="2"/>
      <c r="X189" s="7">
        <f t="shared" si="95"/>
        <v>-9006.2999999999993</v>
      </c>
      <c r="Y189" s="2"/>
      <c r="Z189" s="6">
        <f t="shared" si="96"/>
        <v>-0.9797976501305482</v>
      </c>
    </row>
    <row r="190" spans="1:26" s="24" customFormat="1" hidden="1" outlineLevel="2" x14ac:dyDescent="0.25">
      <c r="A190" s="27"/>
      <c r="B190" s="11" t="str">
        <f>CONCATENATE("          ", "6259", " - ", "ROYALTY &amp; COMMISSIONS")</f>
        <v xml:space="preserve">          6259 - ROYALTY &amp; COMMISSIONS</v>
      </c>
      <c r="C190" s="11"/>
      <c r="D190" s="7">
        <v>468.34</v>
      </c>
      <c r="E190" s="2"/>
      <c r="F190" s="6">
        <f t="shared" si="89"/>
        <v>2.3073874185456618E-3</v>
      </c>
      <c r="G190" s="2"/>
      <c r="H190" s="7">
        <v>11437</v>
      </c>
      <c r="I190" s="2"/>
      <c r="J190" s="6">
        <f t="shared" si="90"/>
        <v>1.4649448196005697E-2</v>
      </c>
      <c r="K190" s="2"/>
      <c r="L190" s="7">
        <f t="shared" si="91"/>
        <v>-10968.66</v>
      </c>
      <c r="M190" s="2"/>
      <c r="N190" s="6">
        <f t="shared" si="92"/>
        <v>-0.95905045029290892</v>
      </c>
      <c r="O190" s="11"/>
      <c r="P190" s="7">
        <v>10636.41</v>
      </c>
      <c r="Q190" s="2"/>
      <c r="R190" s="6">
        <f t="shared" si="93"/>
        <v>2.605048390643622E-3</v>
      </c>
      <c r="S190" s="2"/>
      <c r="T190" s="7">
        <v>25573</v>
      </c>
      <c r="U190" s="2"/>
      <c r="V190" s="6">
        <f t="shared" si="94"/>
        <v>3.3362826247423719E-3</v>
      </c>
      <c r="W190" s="2"/>
      <c r="X190" s="7">
        <f t="shared" si="95"/>
        <v>-14936.59</v>
      </c>
      <c r="Y190" s="2"/>
      <c r="Z190" s="6">
        <f t="shared" si="96"/>
        <v>-0.58407656512728268</v>
      </c>
    </row>
    <row r="191" spans="1:26" s="28" customFormat="1" outlineLevel="1" collapsed="1" x14ac:dyDescent="0.25">
      <c r="A191" s="29"/>
      <c r="B191" s="14" t="str">
        <f>CONCATENATE("     ","Services                                          ")</f>
        <v xml:space="preserve">     Services                                          </v>
      </c>
      <c r="C191" s="14"/>
      <c r="D191" s="1">
        <f>SUM(OSRRefD22_19x_0)</f>
        <v>4363.5</v>
      </c>
      <c r="E191" s="1"/>
      <c r="F191" s="5">
        <f t="shared" ref="F191:F196" si="97">IF(D$12=0,0,D191/D$12)</f>
        <v>2.1497811420813927E-2</v>
      </c>
      <c r="G191" s="1"/>
      <c r="H191" s="1">
        <f>SUM(OSRRefH22_19x_0)</f>
        <v>5887</v>
      </c>
      <c r="I191" s="1"/>
      <c r="J191" s="5">
        <f t="shared" ref="J191:J196" si="98">IF(H$12=0,0,H191/H$12)</f>
        <v>7.5405527262293907E-3</v>
      </c>
      <c r="K191" s="1"/>
      <c r="L191" s="1">
        <f t="shared" ref="L191:L196" si="99">+D191-H191</f>
        <v>-1523.5</v>
      </c>
      <c r="M191" s="1"/>
      <c r="N191" s="5">
        <f t="shared" ref="N191:N196" si="100">IF(H191=0,0,L191/H191)</f>
        <v>-0.25879055546118568</v>
      </c>
      <c r="O191" s="14"/>
      <c r="P191" s="1">
        <f>SUM(OSRRefP22_19x_0)</f>
        <v>30507.040000000001</v>
      </c>
      <c r="Q191" s="1"/>
      <c r="R191" s="5">
        <f t="shared" ref="R191:R196" si="101">IF(P$12=0,0,P191/P$12)</f>
        <v>7.4717235848656268E-3</v>
      </c>
      <c r="S191" s="1"/>
      <c r="T191" s="1">
        <f>SUM(OSRRefT22_19x_0)</f>
        <v>45858</v>
      </c>
      <c r="U191" s="1"/>
      <c r="V191" s="5">
        <f t="shared" ref="V191:V196" si="102">IF(T$12=0,0,T191/T$12)</f>
        <v>5.9826867635958117E-3</v>
      </c>
      <c r="W191" s="1"/>
      <c r="X191" s="1">
        <f t="shared" ref="X191:X196" si="103">+P191-T191</f>
        <v>-15350.96</v>
      </c>
      <c r="Y191" s="1"/>
      <c r="Z191" s="5">
        <f t="shared" ref="Z191:Z196" si="104">IF(T191=0,0,X191/T191)</f>
        <v>-0.33474988006454703</v>
      </c>
    </row>
    <row r="192" spans="1:26" s="24" customFormat="1" hidden="1" outlineLevel="2" x14ac:dyDescent="0.25">
      <c r="A192" s="27"/>
      <c r="B192" s="11" t="str">
        <f>CONCATENATE("          ", "6282", " - ", "JANITORIAL/EXTERMINATOR EXPENS")</f>
        <v xml:space="preserve">          6282 - JANITORIAL/EXTERMINATOR EXPENS</v>
      </c>
      <c r="C192" s="11"/>
      <c r="D192" s="7">
        <v>141.93</v>
      </c>
      <c r="E192" s="2"/>
      <c r="F192" s="6">
        <f t="shared" si="97"/>
        <v>6.9925160420674249E-4</v>
      </c>
      <c r="G192" s="2"/>
      <c r="H192" s="7">
        <v>4315</v>
      </c>
      <c r="I192" s="2"/>
      <c r="J192" s="6">
        <f t="shared" si="98"/>
        <v>5.52700611749275E-3</v>
      </c>
      <c r="K192" s="2"/>
      <c r="L192" s="7">
        <f t="shared" si="99"/>
        <v>-4173.07</v>
      </c>
      <c r="M192" s="2"/>
      <c r="N192" s="6">
        <f t="shared" si="100"/>
        <v>-0.96710776361529538</v>
      </c>
      <c r="O192" s="11"/>
      <c r="P192" s="7">
        <v>8446.8700000000008</v>
      </c>
      <c r="Q192" s="2"/>
      <c r="R192" s="6">
        <f t="shared" si="101"/>
        <v>2.0687906069318399E-3</v>
      </c>
      <c r="S192" s="2"/>
      <c r="T192" s="7">
        <v>33416</v>
      </c>
      <c r="U192" s="2"/>
      <c r="V192" s="6">
        <f t="shared" si="102"/>
        <v>4.359489312493298E-3</v>
      </c>
      <c r="W192" s="2"/>
      <c r="X192" s="7">
        <f t="shared" si="103"/>
        <v>-24969.129999999997</v>
      </c>
      <c r="Y192" s="2"/>
      <c r="Z192" s="6">
        <f t="shared" si="104"/>
        <v>-0.74722079243476169</v>
      </c>
    </row>
    <row r="193" spans="1:26" s="24" customFormat="1" hidden="1" outlineLevel="2" x14ac:dyDescent="0.25">
      <c r="A193" s="27"/>
      <c r="B193" s="11" t="str">
        <f>CONCATENATE("          ", "6283", " - ", "PLANT SERVICE")</f>
        <v xml:space="preserve">          6283 - PLANT SERVICE</v>
      </c>
      <c r="C193" s="11"/>
      <c r="D193" s="7"/>
      <c r="E193" s="2"/>
      <c r="F193" s="6">
        <f t="shared" si="97"/>
        <v>0</v>
      </c>
      <c r="G193" s="2"/>
      <c r="H193" s="7">
        <v>0</v>
      </c>
      <c r="I193" s="2"/>
      <c r="J193" s="6">
        <f t="shared" si="98"/>
        <v>0</v>
      </c>
      <c r="K193" s="2"/>
      <c r="L193" s="7">
        <f t="shared" si="99"/>
        <v>0</v>
      </c>
      <c r="M193" s="2"/>
      <c r="N193" s="6">
        <f t="shared" si="100"/>
        <v>0</v>
      </c>
      <c r="O193" s="11"/>
      <c r="P193" s="7">
        <v>171.31</v>
      </c>
      <c r="Q193" s="2"/>
      <c r="R193" s="6">
        <f t="shared" si="101"/>
        <v>4.1956904613601667E-5</v>
      </c>
      <c r="S193" s="2"/>
      <c r="T193" s="7">
        <v>0</v>
      </c>
      <c r="U193" s="2"/>
      <c r="V193" s="6">
        <f t="shared" si="102"/>
        <v>0</v>
      </c>
      <c r="W193" s="2"/>
      <c r="X193" s="7">
        <f t="shared" si="103"/>
        <v>171.31</v>
      </c>
      <c r="Y193" s="2"/>
      <c r="Z193" s="6">
        <f t="shared" si="104"/>
        <v>0</v>
      </c>
    </row>
    <row r="194" spans="1:26" s="24" customFormat="1" hidden="1" outlineLevel="2" x14ac:dyDescent="0.25">
      <c r="A194" s="27"/>
      <c r="B194" s="11" t="str">
        <f>CONCATENATE("          ", "6284", " - ", "TRASH REMOVAL EXPENSE")</f>
        <v xml:space="preserve">          6284 - TRASH REMOVAL EXPENSE</v>
      </c>
      <c r="C194" s="11"/>
      <c r="D194" s="7">
        <v>431.57</v>
      </c>
      <c r="E194" s="2"/>
      <c r="F194" s="6">
        <f t="shared" si="97"/>
        <v>2.1262313452230243E-3</v>
      </c>
      <c r="G194" s="2"/>
      <c r="H194" s="7">
        <v>344</v>
      </c>
      <c r="I194" s="2"/>
      <c r="J194" s="6">
        <f t="shared" si="98"/>
        <v>4.4062343091946836E-4</v>
      </c>
      <c r="K194" s="2"/>
      <c r="L194" s="7">
        <f t="shared" si="99"/>
        <v>87.57</v>
      </c>
      <c r="M194" s="2"/>
      <c r="N194" s="6">
        <f t="shared" si="100"/>
        <v>0.25456395348837207</v>
      </c>
      <c r="O194" s="11"/>
      <c r="P194" s="7">
        <v>2311.58</v>
      </c>
      <c r="Q194" s="2"/>
      <c r="R194" s="6">
        <f t="shared" si="101"/>
        <v>5.6614757788050508E-4</v>
      </c>
      <c r="S194" s="2"/>
      <c r="T194" s="7">
        <v>2861</v>
      </c>
      <c r="U194" s="2"/>
      <c r="V194" s="6">
        <f t="shared" si="102"/>
        <v>3.7324930940397784E-4</v>
      </c>
      <c r="W194" s="2"/>
      <c r="X194" s="7">
        <f t="shared" si="103"/>
        <v>-549.42000000000007</v>
      </c>
      <c r="Y194" s="2"/>
      <c r="Z194" s="6">
        <f t="shared" si="104"/>
        <v>-0.19203774903879764</v>
      </c>
    </row>
    <row r="195" spans="1:26" s="24" customFormat="1" hidden="1" outlineLevel="2" x14ac:dyDescent="0.25">
      <c r="A195" s="27"/>
      <c r="B195" s="11" t="str">
        <f>CONCATENATE("          ", "6285", " - ", "JANITORIAL SERVICES")</f>
        <v xml:space="preserve">          6285 - JANITORIAL SERVICES</v>
      </c>
      <c r="C195" s="11"/>
      <c r="D195" s="7">
        <v>3790</v>
      </c>
      <c r="E195" s="2"/>
      <c r="F195" s="6">
        <f t="shared" si="97"/>
        <v>1.8672328471384163E-2</v>
      </c>
      <c r="G195" s="2"/>
      <c r="H195" s="7">
        <v>1124</v>
      </c>
      <c r="I195" s="2"/>
      <c r="J195" s="6">
        <f t="shared" si="98"/>
        <v>1.4397114428880305E-3</v>
      </c>
      <c r="K195" s="2"/>
      <c r="L195" s="7">
        <f t="shared" si="99"/>
        <v>2666</v>
      </c>
      <c r="M195" s="2"/>
      <c r="N195" s="6">
        <f t="shared" si="100"/>
        <v>2.3718861209964412</v>
      </c>
      <c r="O195" s="11"/>
      <c r="P195" s="7">
        <v>19577.28</v>
      </c>
      <c r="Q195" s="2"/>
      <c r="R195" s="6">
        <f t="shared" si="101"/>
        <v>4.7948284954396798E-3</v>
      </c>
      <c r="S195" s="2"/>
      <c r="T195" s="7">
        <v>8756</v>
      </c>
      <c r="U195" s="2"/>
      <c r="V195" s="6">
        <f t="shared" si="102"/>
        <v>1.1423177046980882E-3</v>
      </c>
      <c r="W195" s="2"/>
      <c r="X195" s="7">
        <f t="shared" si="103"/>
        <v>10821.279999999999</v>
      </c>
      <c r="Y195" s="2"/>
      <c r="Z195" s="6">
        <f t="shared" si="104"/>
        <v>1.2358702603928733</v>
      </c>
    </row>
    <row r="196" spans="1:26" s="24" customFormat="1" hidden="1" outlineLevel="2" x14ac:dyDescent="0.25">
      <c r="A196" s="27"/>
      <c r="B196" s="11" t="str">
        <f>CONCATENATE("          ", "6286", " - ", "LAUNDRY EXPENSE")</f>
        <v xml:space="preserve">          6286 - LAUNDRY EXPENSE</v>
      </c>
      <c r="C196" s="11"/>
      <c r="D196" s="7"/>
      <c r="E196" s="2"/>
      <c r="F196" s="6">
        <f t="shared" si="97"/>
        <v>0</v>
      </c>
      <c r="G196" s="2"/>
      <c r="H196" s="7">
        <v>104</v>
      </c>
      <c r="I196" s="2"/>
      <c r="J196" s="6">
        <f t="shared" si="98"/>
        <v>1.332117349291416E-4</v>
      </c>
      <c r="K196" s="2"/>
      <c r="L196" s="7">
        <f t="shared" si="99"/>
        <v>-104</v>
      </c>
      <c r="M196" s="2"/>
      <c r="N196" s="6">
        <f t="shared" si="100"/>
        <v>-1</v>
      </c>
      <c r="O196" s="11"/>
      <c r="P196" s="7"/>
      <c r="Q196" s="2"/>
      <c r="R196" s="6">
        <f t="shared" si="101"/>
        <v>0</v>
      </c>
      <c r="S196" s="2"/>
      <c r="T196" s="7">
        <v>825</v>
      </c>
      <c r="U196" s="2"/>
      <c r="V196" s="6">
        <f t="shared" si="102"/>
        <v>1.0763043700044801E-4</v>
      </c>
      <c r="W196" s="2"/>
      <c r="X196" s="7">
        <f t="shared" si="103"/>
        <v>-825</v>
      </c>
      <c r="Y196" s="2"/>
      <c r="Z196" s="6">
        <f t="shared" si="104"/>
        <v>-1</v>
      </c>
    </row>
    <row r="197" spans="1:26" s="28" customFormat="1" outlineLevel="1" collapsed="1" x14ac:dyDescent="0.25">
      <c r="A197" s="29"/>
      <c r="B197" s="14" t="str">
        <f>CONCATENATE("     ","Subscriptions &amp; Dues                              ")</f>
        <v xml:space="preserve">     Subscriptions &amp; Dues                              </v>
      </c>
      <c r="C197" s="14"/>
      <c r="D197" s="1">
        <f>SUM(OSRRefD22_20x_0)</f>
        <v>181.41</v>
      </c>
      <c r="E197" s="1"/>
      <c r="F197" s="5">
        <f t="shared" ref="F197:F199" si="105">IF(D$12=0,0,D197/D$12)</f>
        <v>8.937591313967812E-4</v>
      </c>
      <c r="G197" s="1"/>
      <c r="H197" s="1">
        <f>SUM(OSRRefH22_20x_0)</f>
        <v>1276</v>
      </c>
      <c r="I197" s="1"/>
      <c r="J197" s="5">
        <f t="shared" ref="J197:J199" si="106">IF(H$12=0,0,H197/H$12)</f>
        <v>1.6344055170152373E-3</v>
      </c>
      <c r="K197" s="1"/>
      <c r="L197" s="1">
        <f t="shared" ref="L197:L199" si="107">+D197-H197</f>
        <v>-1094.5899999999999</v>
      </c>
      <c r="M197" s="1"/>
      <c r="N197" s="5">
        <f t="shared" ref="N197:N199" si="108">IF(H197=0,0,L197/H197)</f>
        <v>-0.85782915360501566</v>
      </c>
      <c r="O197" s="14"/>
      <c r="P197" s="1">
        <f>SUM(OSRRefP22_20x_0)</f>
        <v>4026.54</v>
      </c>
      <c r="Q197" s="1"/>
      <c r="R197" s="5">
        <f t="shared" ref="R197:R199" si="109">IF(P$12=0,0,P197/P$12)</f>
        <v>9.8617217151860163E-4</v>
      </c>
      <c r="S197" s="1"/>
      <c r="T197" s="1">
        <f>SUM(OSRRefT22_20x_0)</f>
        <v>11603</v>
      </c>
      <c r="U197" s="1"/>
      <c r="V197" s="5">
        <f t="shared" ref="V197:V199" si="110">IF(T$12=0,0,T197/T$12)</f>
        <v>1.5137405582014523E-3</v>
      </c>
      <c r="W197" s="1"/>
      <c r="X197" s="1">
        <f t="shared" ref="X197:X199" si="111">+P197-T197</f>
        <v>-7576.46</v>
      </c>
      <c r="Y197" s="1"/>
      <c r="Z197" s="5">
        <f t="shared" ref="Z197:Z199" si="112">IF(T197=0,0,X197/T197)</f>
        <v>-0.65297423080237871</v>
      </c>
    </row>
    <row r="198" spans="1:26" s="24" customFormat="1" hidden="1" outlineLevel="2" x14ac:dyDescent="0.25">
      <c r="A198" s="27"/>
      <c r="B198" s="11" t="str">
        <f>CONCATENATE("          ", "6258", " - ", "MEMBERSHIP DUES")</f>
        <v xml:space="preserve">          6258 - MEMBERSHIP DUES</v>
      </c>
      <c r="C198" s="11"/>
      <c r="D198" s="7">
        <v>181.41</v>
      </c>
      <c r="E198" s="2"/>
      <c r="F198" s="6">
        <f t="shared" si="105"/>
        <v>8.937591313967812E-4</v>
      </c>
      <c r="G198" s="2"/>
      <c r="H198" s="7">
        <v>1100</v>
      </c>
      <c r="I198" s="2"/>
      <c r="J198" s="6">
        <f t="shared" si="106"/>
        <v>1.4089702732889978E-3</v>
      </c>
      <c r="K198" s="2"/>
      <c r="L198" s="7">
        <f t="shared" si="107"/>
        <v>-918.59</v>
      </c>
      <c r="M198" s="2"/>
      <c r="N198" s="6">
        <f t="shared" si="108"/>
        <v>-0.83508181818181826</v>
      </c>
      <c r="O198" s="11"/>
      <c r="P198" s="7">
        <v>1873.73</v>
      </c>
      <c r="Q198" s="2"/>
      <c r="R198" s="6">
        <f t="shared" si="109"/>
        <v>4.5891022638283726E-4</v>
      </c>
      <c r="S198" s="2"/>
      <c r="T198" s="7">
        <v>10195</v>
      </c>
      <c r="U198" s="2"/>
      <c r="V198" s="6">
        <f t="shared" si="110"/>
        <v>1.3300512790540211E-3</v>
      </c>
      <c r="W198" s="2"/>
      <c r="X198" s="7">
        <f t="shared" si="111"/>
        <v>-8321.27</v>
      </c>
      <c r="Y198" s="2"/>
      <c r="Z198" s="6">
        <f t="shared" si="112"/>
        <v>-0.81621088769004413</v>
      </c>
    </row>
    <row r="199" spans="1:26" s="24" customFormat="1" hidden="1" outlineLevel="2" x14ac:dyDescent="0.25">
      <c r="A199" s="27"/>
      <c r="B199" s="11" t="str">
        <f>CONCATENATE("          ", "6275", " - ", "SUBSCRIPTIONS")</f>
        <v xml:space="preserve">          6275 - SUBSCRIPTIONS</v>
      </c>
      <c r="C199" s="11"/>
      <c r="D199" s="7"/>
      <c r="E199" s="2"/>
      <c r="F199" s="6">
        <f t="shared" si="105"/>
        <v>0</v>
      </c>
      <c r="G199" s="2"/>
      <c r="H199" s="7">
        <v>176</v>
      </c>
      <c r="I199" s="2"/>
      <c r="J199" s="6">
        <f t="shared" si="106"/>
        <v>2.2543524372623964E-4</v>
      </c>
      <c r="K199" s="2"/>
      <c r="L199" s="7">
        <f t="shared" si="107"/>
        <v>-176</v>
      </c>
      <c r="M199" s="2"/>
      <c r="N199" s="6">
        <f t="shared" si="108"/>
        <v>-1</v>
      </c>
      <c r="O199" s="11"/>
      <c r="P199" s="7">
        <v>2152.81</v>
      </c>
      <c r="Q199" s="2"/>
      <c r="R199" s="6">
        <f t="shared" si="109"/>
        <v>5.2726194513576436E-4</v>
      </c>
      <c r="S199" s="2"/>
      <c r="T199" s="7">
        <v>1408</v>
      </c>
      <c r="U199" s="2"/>
      <c r="V199" s="6">
        <f t="shared" si="110"/>
        <v>1.8368927914743125E-4</v>
      </c>
      <c r="W199" s="2"/>
      <c r="X199" s="7">
        <f t="shared" si="111"/>
        <v>744.81</v>
      </c>
      <c r="Y199" s="2"/>
      <c r="Z199" s="6">
        <f t="shared" si="112"/>
        <v>0.52898437499999995</v>
      </c>
    </row>
    <row r="200" spans="1:26" s="28" customFormat="1" outlineLevel="1" collapsed="1" x14ac:dyDescent="0.25">
      <c r="A200" s="29"/>
      <c r="B200" s="14" t="str">
        <f>CONCATENATE("     ","Supplies                                          ")</f>
        <v xml:space="preserve">     Supplies                                          </v>
      </c>
      <c r="C200" s="14"/>
      <c r="D200" s="1">
        <f>SUM(OSRRefD22_21x_0)</f>
        <v>7904.01</v>
      </c>
      <c r="E200" s="1"/>
      <c r="F200" s="5">
        <f t="shared" ref="F200:F209" si="113">IF(D$12=0,0,D200/D$12)</f>
        <v>3.8940968591320617E-2</v>
      </c>
      <c r="G200" s="1"/>
      <c r="H200" s="1">
        <f>SUM(OSRRefH22_21x_0)</f>
        <v>8913</v>
      </c>
      <c r="I200" s="1"/>
      <c r="J200" s="5">
        <f t="shared" ref="J200:J209" si="114">IF(H$12=0,0,H200/H$12)</f>
        <v>1.141650185984076E-2</v>
      </c>
      <c r="K200" s="1"/>
      <c r="L200" s="1">
        <f t="shared" ref="L200:L209" si="115">+D200-H200</f>
        <v>-1008.9899999999998</v>
      </c>
      <c r="M200" s="1"/>
      <c r="N200" s="5">
        <f t="shared" ref="N200:N209" si="116">IF(H200=0,0,L200/H200)</f>
        <v>-0.11320430831369907</v>
      </c>
      <c r="O200" s="14"/>
      <c r="P200" s="1">
        <f>SUM(OSRRefP22_21x_0)</f>
        <v>100000.70000000001</v>
      </c>
      <c r="Q200" s="1"/>
      <c r="R200" s="5">
        <f t="shared" ref="R200:R209" si="117">IF(P$12=0,0,P200/P$12)</f>
        <v>2.4491972629697021E-2</v>
      </c>
      <c r="S200" s="1"/>
      <c r="T200" s="1">
        <f>SUM(OSRRefT22_21x_0)</f>
        <v>141049</v>
      </c>
      <c r="U200" s="1"/>
      <c r="V200" s="5">
        <f t="shared" ref="V200:V209" si="118">IF(T$12=0,0,T200/T$12)</f>
        <v>1.8401412737546897E-2</v>
      </c>
      <c r="W200" s="1"/>
      <c r="X200" s="1">
        <f t="shared" ref="X200:X209" si="119">+P200-T200</f>
        <v>-41048.299999999988</v>
      </c>
      <c r="Y200" s="1"/>
      <c r="Z200" s="5">
        <f t="shared" ref="Z200:Z209" si="120">IF(T200=0,0,X200/T200)</f>
        <v>-0.29102155988344469</v>
      </c>
    </row>
    <row r="201" spans="1:26" s="24" customFormat="1" hidden="1" outlineLevel="2" x14ac:dyDescent="0.25">
      <c r="A201" s="27"/>
      <c r="B201" s="11" t="str">
        <f>CONCATENATE("          ", "6234", " - ", "EXPENDABLE SUPPLIES &amp; EQUIPMEN")</f>
        <v xml:space="preserve">          6234 - EXPENDABLE SUPPLIES &amp; EQUIPMEN</v>
      </c>
      <c r="C201" s="11"/>
      <c r="D201" s="7"/>
      <c r="E201" s="2"/>
      <c r="F201" s="6">
        <f t="shared" si="113"/>
        <v>0</v>
      </c>
      <c r="G201" s="2"/>
      <c r="H201" s="7">
        <v>150</v>
      </c>
      <c r="I201" s="2"/>
      <c r="J201" s="6">
        <f t="shared" si="114"/>
        <v>1.9213230999395425E-4</v>
      </c>
      <c r="K201" s="2"/>
      <c r="L201" s="7">
        <f t="shared" si="115"/>
        <v>-150</v>
      </c>
      <c r="M201" s="2"/>
      <c r="N201" s="6">
        <f t="shared" si="116"/>
        <v>-1</v>
      </c>
      <c r="O201" s="11"/>
      <c r="P201" s="7">
        <v>263.83</v>
      </c>
      <c r="Q201" s="2"/>
      <c r="R201" s="6">
        <f t="shared" si="117"/>
        <v>6.4616719071896136E-5</v>
      </c>
      <c r="S201" s="2"/>
      <c r="T201" s="7">
        <v>1228</v>
      </c>
      <c r="U201" s="2"/>
      <c r="V201" s="6">
        <f t="shared" si="118"/>
        <v>1.6020627471096988E-4</v>
      </c>
      <c r="W201" s="2"/>
      <c r="X201" s="7">
        <f t="shared" si="119"/>
        <v>-964.17000000000007</v>
      </c>
      <c r="Y201" s="2"/>
      <c r="Z201" s="6">
        <f t="shared" si="120"/>
        <v>-0.78515472312703594</v>
      </c>
    </row>
    <row r="202" spans="1:26" s="24" customFormat="1" hidden="1" outlineLevel="2" x14ac:dyDescent="0.25">
      <c r="A202" s="27"/>
      <c r="B202" s="11" t="str">
        <f>CONCATENATE("          ", "6235", " - ", "COVID-19 EXPENSES")</f>
        <v xml:space="preserve">          6235 - COVID-19 EXPENSES</v>
      </c>
      <c r="C202" s="11"/>
      <c r="D202" s="7">
        <v>2992.14</v>
      </c>
      <c r="E202" s="2"/>
      <c r="F202" s="6">
        <f t="shared" si="113"/>
        <v>1.4741483090334408E-2</v>
      </c>
      <c r="G202" s="2"/>
      <c r="H202" s="7">
        <v>900</v>
      </c>
      <c r="I202" s="2"/>
      <c r="J202" s="6">
        <f t="shared" si="114"/>
        <v>1.1527938599637255E-3</v>
      </c>
      <c r="K202" s="2"/>
      <c r="L202" s="7">
        <f t="shared" si="115"/>
        <v>2092.14</v>
      </c>
      <c r="M202" s="2"/>
      <c r="N202" s="6">
        <f t="shared" si="116"/>
        <v>2.3245999999999998</v>
      </c>
      <c r="O202" s="11"/>
      <c r="P202" s="7">
        <v>37498.44</v>
      </c>
      <c r="Q202" s="2"/>
      <c r="R202" s="6">
        <f t="shared" si="117"/>
        <v>9.1840433730597474E-3</v>
      </c>
      <c r="S202" s="2"/>
      <c r="T202" s="7">
        <v>67300</v>
      </c>
      <c r="U202" s="2"/>
      <c r="V202" s="6">
        <f t="shared" si="118"/>
        <v>8.7800344365213945E-3</v>
      </c>
      <c r="W202" s="2"/>
      <c r="X202" s="7">
        <f t="shared" si="119"/>
        <v>-29801.559999999998</v>
      </c>
      <c r="Y202" s="2"/>
      <c r="Z202" s="6">
        <f t="shared" si="120"/>
        <v>-0.4428166419019316</v>
      </c>
    </row>
    <row r="203" spans="1:26" s="24" customFormat="1" hidden="1" outlineLevel="2" x14ac:dyDescent="0.25">
      <c r="A203" s="27"/>
      <c r="B203" s="11" t="str">
        <f>CONCATENATE("          ", "6237", " - ", "JANITORIAL SUPPLIES")</f>
        <v xml:space="preserve">          6237 - JANITORIAL SUPPLIES</v>
      </c>
      <c r="C203" s="11"/>
      <c r="D203" s="7"/>
      <c r="E203" s="2"/>
      <c r="F203" s="6">
        <f t="shared" si="113"/>
        <v>0</v>
      </c>
      <c r="G203" s="2"/>
      <c r="H203" s="7">
        <v>260</v>
      </c>
      <c r="I203" s="2"/>
      <c r="J203" s="6">
        <f t="shared" si="114"/>
        <v>3.3302933732285399E-4</v>
      </c>
      <c r="K203" s="2"/>
      <c r="L203" s="7">
        <f t="shared" si="115"/>
        <v>-260</v>
      </c>
      <c r="M203" s="2"/>
      <c r="N203" s="6">
        <f t="shared" si="116"/>
        <v>-1</v>
      </c>
      <c r="O203" s="11"/>
      <c r="P203" s="7">
        <v>2581.2199999999998</v>
      </c>
      <c r="Q203" s="2"/>
      <c r="R203" s="6">
        <f t="shared" si="117"/>
        <v>6.3218727060137105E-4</v>
      </c>
      <c r="S203" s="2"/>
      <c r="T203" s="7">
        <v>2831</v>
      </c>
      <c r="U203" s="2"/>
      <c r="V203" s="6">
        <f t="shared" si="118"/>
        <v>3.6933547533123432E-4</v>
      </c>
      <c r="W203" s="2"/>
      <c r="X203" s="7">
        <f t="shared" si="119"/>
        <v>-249.7800000000002</v>
      </c>
      <c r="Y203" s="2"/>
      <c r="Z203" s="6">
        <f t="shared" si="120"/>
        <v>-8.8230307311903997E-2</v>
      </c>
    </row>
    <row r="204" spans="1:26" s="24" customFormat="1" hidden="1" outlineLevel="2" x14ac:dyDescent="0.25">
      <c r="A204" s="27"/>
      <c r="B204" s="11" t="str">
        <f>CONCATENATE("          ", "6241", " - ", "OFFICE EXPENSE")</f>
        <v xml:space="preserve">          6241 - OFFICE EXPENSE</v>
      </c>
      <c r="C204" s="11"/>
      <c r="D204" s="7">
        <v>624.67999999999995</v>
      </c>
      <c r="E204" s="2"/>
      <c r="F204" s="6">
        <f t="shared" si="113"/>
        <v>3.0776332848296193E-3</v>
      </c>
      <c r="G204" s="2"/>
      <c r="H204" s="7">
        <v>625</v>
      </c>
      <c r="I204" s="2"/>
      <c r="J204" s="6">
        <f t="shared" si="114"/>
        <v>8.0055129164147598E-4</v>
      </c>
      <c r="K204" s="2"/>
      <c r="L204" s="7">
        <f t="shared" si="115"/>
        <v>-0.32000000000005002</v>
      </c>
      <c r="M204" s="2"/>
      <c r="N204" s="6">
        <f t="shared" si="116"/>
        <v>-5.1200000000007999E-4</v>
      </c>
      <c r="O204" s="11"/>
      <c r="P204" s="7">
        <v>9987.85</v>
      </c>
      <c r="Q204" s="2"/>
      <c r="R204" s="6">
        <f t="shared" si="117"/>
        <v>2.4462043648646394E-3</v>
      </c>
      <c r="S204" s="2"/>
      <c r="T204" s="7">
        <v>4600</v>
      </c>
      <c r="U204" s="2"/>
      <c r="V204" s="6">
        <f t="shared" si="118"/>
        <v>6.0012122448734647E-4</v>
      </c>
      <c r="W204" s="2"/>
      <c r="X204" s="7">
        <f t="shared" si="119"/>
        <v>5387.85</v>
      </c>
      <c r="Y204" s="2"/>
      <c r="Z204" s="6">
        <f t="shared" si="120"/>
        <v>1.1712717391304348</v>
      </c>
    </row>
    <row r="205" spans="1:26" s="24" customFormat="1" hidden="1" outlineLevel="2" x14ac:dyDescent="0.25">
      <c r="A205" s="27"/>
      <c r="B205" s="11" t="str">
        <f>CONCATENATE("          ", "6243", " - ", "PAPER SUPPLIES")</f>
        <v xml:space="preserve">          6243 - PAPER SUPPLIES</v>
      </c>
      <c r="C205" s="11"/>
      <c r="D205" s="7"/>
      <c r="E205" s="2"/>
      <c r="F205" s="6">
        <f t="shared" si="113"/>
        <v>0</v>
      </c>
      <c r="G205" s="2"/>
      <c r="H205" s="7">
        <v>692</v>
      </c>
      <c r="I205" s="2"/>
      <c r="J205" s="6">
        <f t="shared" si="114"/>
        <v>8.8637039010544224E-4</v>
      </c>
      <c r="K205" s="2"/>
      <c r="L205" s="7">
        <f t="shared" si="115"/>
        <v>-692</v>
      </c>
      <c r="M205" s="2"/>
      <c r="N205" s="6">
        <f t="shared" si="116"/>
        <v>-1</v>
      </c>
      <c r="O205" s="11"/>
      <c r="P205" s="7">
        <v>6173.4</v>
      </c>
      <c r="Q205" s="2"/>
      <c r="R205" s="6">
        <f t="shared" si="117"/>
        <v>1.5119768544837341E-3</v>
      </c>
      <c r="S205" s="2"/>
      <c r="T205" s="7">
        <v>12872</v>
      </c>
      <c r="U205" s="2"/>
      <c r="V205" s="6">
        <f t="shared" si="118"/>
        <v>1.679295739478505E-3</v>
      </c>
      <c r="W205" s="2"/>
      <c r="X205" s="7">
        <f t="shared" si="119"/>
        <v>-6698.6</v>
      </c>
      <c r="Y205" s="2"/>
      <c r="Z205" s="6">
        <f t="shared" si="120"/>
        <v>-0.52040087010565572</v>
      </c>
    </row>
    <row r="206" spans="1:26" s="24" customFormat="1" hidden="1" outlineLevel="2" x14ac:dyDescent="0.25">
      <c r="A206" s="27"/>
      <c r="B206" s="11" t="str">
        <f>CONCATENATE("          ", "6244", " - ", "SAFETY SUPPLY EXPENSE")</f>
        <v xml:space="preserve">          6244 - SAFETY SUPPLY EXPENSE</v>
      </c>
      <c r="C206" s="11"/>
      <c r="D206" s="7"/>
      <c r="E206" s="2"/>
      <c r="F206" s="6">
        <f t="shared" si="113"/>
        <v>0</v>
      </c>
      <c r="G206" s="2"/>
      <c r="H206" s="7">
        <v>0</v>
      </c>
      <c r="I206" s="2"/>
      <c r="J206" s="6">
        <f t="shared" si="114"/>
        <v>0</v>
      </c>
      <c r="K206" s="2"/>
      <c r="L206" s="7">
        <f t="shared" si="115"/>
        <v>0</v>
      </c>
      <c r="M206" s="2"/>
      <c r="N206" s="6">
        <f t="shared" si="116"/>
        <v>0</v>
      </c>
      <c r="O206" s="11"/>
      <c r="P206" s="7"/>
      <c r="Q206" s="2"/>
      <c r="R206" s="6">
        <f t="shared" si="117"/>
        <v>0</v>
      </c>
      <c r="S206" s="2"/>
      <c r="T206" s="7">
        <v>75</v>
      </c>
      <c r="U206" s="2"/>
      <c r="V206" s="6">
        <f t="shared" si="118"/>
        <v>9.784585181858909E-6</v>
      </c>
      <c r="W206" s="2"/>
      <c r="X206" s="7">
        <f t="shared" si="119"/>
        <v>-75</v>
      </c>
      <c r="Y206" s="2"/>
      <c r="Z206" s="6">
        <f t="shared" si="120"/>
        <v>-1</v>
      </c>
    </row>
    <row r="207" spans="1:26" s="24" customFormat="1" hidden="1" outlineLevel="2" x14ac:dyDescent="0.25">
      <c r="A207" s="27"/>
      <c r="B207" s="11" t="str">
        <f>CONCATENATE("          ", "6245", " - ", "PRINTING")</f>
        <v xml:space="preserve">          6245 - PRINTING</v>
      </c>
      <c r="C207" s="11"/>
      <c r="D207" s="7">
        <v>398.67</v>
      </c>
      <c r="E207" s="2"/>
      <c r="F207" s="6">
        <f t="shared" si="113"/>
        <v>1.9641417392313254E-3</v>
      </c>
      <c r="G207" s="2"/>
      <c r="H207" s="7">
        <v>350</v>
      </c>
      <c r="I207" s="2"/>
      <c r="J207" s="6">
        <f t="shared" si="114"/>
        <v>4.4830872331922653E-4</v>
      </c>
      <c r="K207" s="2"/>
      <c r="L207" s="7">
        <f t="shared" si="115"/>
        <v>48.670000000000016</v>
      </c>
      <c r="M207" s="2"/>
      <c r="N207" s="6">
        <f t="shared" si="116"/>
        <v>0.13905714285714291</v>
      </c>
      <c r="O207" s="11"/>
      <c r="P207" s="7">
        <v>906.94</v>
      </c>
      <c r="Q207" s="2"/>
      <c r="R207" s="6">
        <f t="shared" si="117"/>
        <v>2.2212594168618234E-4</v>
      </c>
      <c r="S207" s="2"/>
      <c r="T207" s="7">
        <v>3900</v>
      </c>
      <c r="U207" s="2"/>
      <c r="V207" s="6">
        <f t="shared" si="118"/>
        <v>5.0879842945666324E-4</v>
      </c>
      <c r="W207" s="2"/>
      <c r="X207" s="7">
        <f t="shared" si="119"/>
        <v>-2993.06</v>
      </c>
      <c r="Y207" s="2"/>
      <c r="Z207" s="6">
        <f t="shared" si="120"/>
        <v>-0.76745128205128199</v>
      </c>
    </row>
    <row r="208" spans="1:26" s="24" customFormat="1" hidden="1" outlineLevel="2" x14ac:dyDescent="0.25">
      <c r="A208" s="27"/>
      <c r="B208" s="11" t="str">
        <f>CONCATENATE("          ", "6247", " - ", "STORE SUPPLIES")</f>
        <v xml:space="preserve">          6247 - STORE SUPPLIES</v>
      </c>
      <c r="C208" s="11"/>
      <c r="D208" s="7">
        <v>3888.52</v>
      </c>
      <c r="E208" s="2"/>
      <c r="F208" s="6">
        <f t="shared" si="113"/>
        <v>1.9157710476925261E-2</v>
      </c>
      <c r="G208" s="2"/>
      <c r="H208" s="7">
        <v>4436</v>
      </c>
      <c r="I208" s="2"/>
      <c r="J208" s="6">
        <f t="shared" si="114"/>
        <v>5.6819928475545399E-3</v>
      </c>
      <c r="K208" s="2"/>
      <c r="L208" s="7">
        <f t="shared" si="115"/>
        <v>-547.48</v>
      </c>
      <c r="M208" s="2"/>
      <c r="N208" s="6">
        <f t="shared" si="116"/>
        <v>-0.12341749323715059</v>
      </c>
      <c r="O208" s="11"/>
      <c r="P208" s="7">
        <v>42589.020000000004</v>
      </c>
      <c r="Q208" s="2"/>
      <c r="R208" s="6">
        <f t="shared" si="117"/>
        <v>1.0430818105929447E-2</v>
      </c>
      <c r="S208" s="2"/>
      <c r="T208" s="7">
        <v>35843</v>
      </c>
      <c r="U208" s="2"/>
      <c r="V208" s="6">
        <f t="shared" si="118"/>
        <v>4.6761184889782519E-3</v>
      </c>
      <c r="W208" s="2"/>
      <c r="X208" s="7">
        <f t="shared" si="119"/>
        <v>6746.0200000000041</v>
      </c>
      <c r="Y208" s="2"/>
      <c r="Z208" s="6">
        <f t="shared" si="120"/>
        <v>0.18821025025807003</v>
      </c>
    </row>
    <row r="209" spans="1:26" s="24" customFormat="1" hidden="1" outlineLevel="2" x14ac:dyDescent="0.25">
      <c r="A209" s="27"/>
      <c r="B209" s="11" t="str">
        <f>CONCATENATE("          ", "6248", " - ", "UNIFORMS")</f>
        <v xml:space="preserve">          6248 - UNIFORMS</v>
      </c>
      <c r="C209" s="11"/>
      <c r="D209" s="7"/>
      <c r="E209" s="2"/>
      <c r="F209" s="6">
        <f t="shared" si="113"/>
        <v>0</v>
      </c>
      <c r="G209" s="2"/>
      <c r="H209" s="7">
        <v>1500</v>
      </c>
      <c r="I209" s="2"/>
      <c r="J209" s="6">
        <f t="shared" si="114"/>
        <v>1.9213230999395423E-3</v>
      </c>
      <c r="K209" s="2"/>
      <c r="L209" s="7">
        <f t="shared" si="115"/>
        <v>-1500</v>
      </c>
      <c r="M209" s="2"/>
      <c r="N209" s="6">
        <f t="shared" si="116"/>
        <v>-1</v>
      </c>
      <c r="O209" s="11"/>
      <c r="P209" s="7"/>
      <c r="Q209" s="2"/>
      <c r="R209" s="6">
        <f t="shared" si="117"/>
        <v>0</v>
      </c>
      <c r="S209" s="2"/>
      <c r="T209" s="7">
        <v>12400</v>
      </c>
      <c r="U209" s="2"/>
      <c r="V209" s="6">
        <f t="shared" si="118"/>
        <v>1.6177180834006731E-3</v>
      </c>
      <c r="W209" s="2"/>
      <c r="X209" s="7">
        <f t="shared" si="119"/>
        <v>-12400</v>
      </c>
      <c r="Y209" s="2"/>
      <c r="Z209" s="6">
        <f t="shared" si="120"/>
        <v>-1</v>
      </c>
    </row>
    <row r="210" spans="1:26" s="28" customFormat="1" outlineLevel="1" collapsed="1" x14ac:dyDescent="0.25">
      <c r="A210" s="29"/>
      <c r="B210" s="14" t="str">
        <f>CONCATENATE("     ","Telephone/Data Lines                              ")</f>
        <v xml:space="preserve">     Telephone/Data Lines                              </v>
      </c>
      <c r="C210" s="14"/>
      <c r="D210" s="1">
        <f>SUM(OSRRefD22_22x_0)</f>
        <v>1264.25</v>
      </c>
      <c r="E210" s="1"/>
      <c r="F210" s="5">
        <f t="shared" ref="F210:F212" si="121">IF(D$12=0,0,D210/D$12)</f>
        <v>6.2286256648937804E-3</v>
      </c>
      <c r="G210" s="1"/>
      <c r="H210" s="1">
        <f>SUM(OSRRefH22_22x_0)</f>
        <v>2530</v>
      </c>
      <c r="I210" s="1"/>
      <c r="J210" s="5">
        <f t="shared" ref="J210:J212" si="122">IF(H$12=0,0,H210/H$12)</f>
        <v>3.240631628564695E-3</v>
      </c>
      <c r="K210" s="1"/>
      <c r="L210" s="1">
        <f t="shared" ref="L210:L212" si="123">+D210-H210</f>
        <v>-1265.75</v>
      </c>
      <c r="M210" s="1"/>
      <c r="N210" s="5">
        <f t="shared" ref="N210:N212" si="124">IF(H210=0,0,L210/H210)</f>
        <v>-0.50029644268774709</v>
      </c>
      <c r="O210" s="14"/>
      <c r="P210" s="1">
        <f>SUM(OSRRefP22_22x_0)</f>
        <v>21440.04</v>
      </c>
      <c r="Q210" s="1"/>
      <c r="R210" s="5">
        <f t="shared" ref="R210:R212" si="125">IF(P$12=0,0,P210/P$12)</f>
        <v>5.2510519712322939E-3</v>
      </c>
      <c r="S210" s="1"/>
      <c r="T210" s="1">
        <f>SUM(OSRRefT22_22x_0)</f>
        <v>22985</v>
      </c>
      <c r="U210" s="1"/>
      <c r="V210" s="5">
        <f t="shared" ref="V210:V212" si="126">IF(T$12=0,0,T210/T$12)</f>
        <v>2.9986492054003603E-3</v>
      </c>
      <c r="W210" s="1"/>
      <c r="X210" s="1">
        <f t="shared" ref="X210:X212" si="127">+P210-T210</f>
        <v>-1544.9599999999991</v>
      </c>
      <c r="Y210" s="1"/>
      <c r="Z210" s="5">
        <f t="shared" ref="Z210:Z212" si="128">IF(T210=0,0,X210/T210)</f>
        <v>-6.7216010441592311E-2</v>
      </c>
    </row>
    <row r="211" spans="1:26" s="24" customFormat="1" hidden="1" outlineLevel="2" x14ac:dyDescent="0.25">
      <c r="A211" s="27"/>
      <c r="B211" s="11" t="str">
        <f>CONCATENATE("          ", "6303", " - ", "DATA PHONE LINES")</f>
        <v xml:space="preserve">          6303 - DATA PHONE LINES</v>
      </c>
      <c r="C211" s="11"/>
      <c r="D211" s="7">
        <v>590</v>
      </c>
      <c r="E211" s="2"/>
      <c r="F211" s="6">
        <f t="shared" si="121"/>
        <v>2.9067740892128381E-3</v>
      </c>
      <c r="G211" s="2"/>
      <c r="H211" s="7">
        <v>865</v>
      </c>
      <c r="I211" s="2"/>
      <c r="J211" s="6">
        <f t="shared" si="122"/>
        <v>1.1079629876318028E-3</v>
      </c>
      <c r="K211" s="2"/>
      <c r="L211" s="7">
        <f t="shared" si="123"/>
        <v>-275</v>
      </c>
      <c r="M211" s="2"/>
      <c r="N211" s="6">
        <f t="shared" si="124"/>
        <v>-0.31791907514450868</v>
      </c>
      <c r="O211" s="11"/>
      <c r="P211" s="7">
        <v>2950</v>
      </c>
      <c r="Q211" s="2"/>
      <c r="R211" s="6">
        <f t="shared" si="125"/>
        <v>7.2250813501911683E-4</v>
      </c>
      <c r="S211" s="2"/>
      <c r="T211" s="7">
        <v>6915</v>
      </c>
      <c r="U211" s="2"/>
      <c r="V211" s="6">
        <f t="shared" si="126"/>
        <v>9.0213875376739141E-4</v>
      </c>
      <c r="W211" s="2"/>
      <c r="X211" s="7">
        <f t="shared" si="127"/>
        <v>-3965</v>
      </c>
      <c r="Y211" s="2"/>
      <c r="Z211" s="6">
        <f t="shared" si="128"/>
        <v>-0.5733911785972523</v>
      </c>
    </row>
    <row r="212" spans="1:26" s="24" customFormat="1" hidden="1" outlineLevel="2" x14ac:dyDescent="0.25">
      <c r="A212" s="27"/>
      <c r="B212" s="11" t="str">
        <f>CONCATENATE("          ", "6309", " - ", "TELEPHONE")</f>
        <v xml:space="preserve">          6309 - TELEPHONE</v>
      </c>
      <c r="C212" s="11"/>
      <c r="D212" s="7">
        <v>674.25</v>
      </c>
      <c r="E212" s="2"/>
      <c r="F212" s="6">
        <f t="shared" si="121"/>
        <v>3.3218515756809424E-3</v>
      </c>
      <c r="G212" s="2"/>
      <c r="H212" s="7">
        <v>1665</v>
      </c>
      <c r="I212" s="2"/>
      <c r="J212" s="6">
        <f t="shared" si="122"/>
        <v>2.1326686409328922E-3</v>
      </c>
      <c r="K212" s="2"/>
      <c r="L212" s="7">
        <f t="shared" si="123"/>
        <v>-990.75</v>
      </c>
      <c r="M212" s="2"/>
      <c r="N212" s="6">
        <f t="shared" si="124"/>
        <v>-0.59504504504504507</v>
      </c>
      <c r="O212" s="11"/>
      <c r="P212" s="7">
        <v>18490.04</v>
      </c>
      <c r="Q212" s="2"/>
      <c r="R212" s="6">
        <f t="shared" si="125"/>
        <v>4.5285438362131772E-3</v>
      </c>
      <c r="S212" s="2"/>
      <c r="T212" s="7">
        <v>16070</v>
      </c>
      <c r="U212" s="2"/>
      <c r="V212" s="6">
        <f t="shared" si="126"/>
        <v>2.0965104516329691E-3</v>
      </c>
      <c r="W212" s="2"/>
      <c r="X212" s="7">
        <f t="shared" si="127"/>
        <v>2420.0400000000009</v>
      </c>
      <c r="Y212" s="2"/>
      <c r="Z212" s="6">
        <f t="shared" si="128"/>
        <v>0.15059365276913508</v>
      </c>
    </row>
    <row r="213" spans="1:26" s="28" customFormat="1" outlineLevel="1" collapsed="1" x14ac:dyDescent="0.25">
      <c r="A213" s="29"/>
      <c r="B213" s="14" t="str">
        <f>CONCATENATE("     ","Training                                          ")</f>
        <v xml:space="preserve">     Training                                          </v>
      </c>
      <c r="C213" s="14"/>
      <c r="D213" s="1">
        <f>SUM(OSRRefD22_23x_0)</f>
        <v>750</v>
      </c>
      <c r="E213" s="1"/>
      <c r="F213" s="5">
        <f t="shared" ref="F213:F218" si="129">IF(D$12=0,0,D213/D$12)</f>
        <v>3.6950518083214041E-3</v>
      </c>
      <c r="G213" s="1"/>
      <c r="H213" s="1">
        <f>SUM(OSRRefH22_23x_0)</f>
        <v>5000</v>
      </c>
      <c r="I213" s="1"/>
      <c r="J213" s="5">
        <f t="shared" ref="J213:J218" si="130">IF(H$12=0,0,H213/H$12)</f>
        <v>6.4044103331318079E-3</v>
      </c>
      <c r="K213" s="1"/>
      <c r="L213" s="1">
        <f t="shared" ref="L213:L218" si="131">+D213-H213</f>
        <v>-4250</v>
      </c>
      <c r="M213" s="1"/>
      <c r="N213" s="5">
        <f t="shared" ref="N213:N218" si="132">IF(H213=0,0,L213/H213)</f>
        <v>-0.85</v>
      </c>
      <c r="O213" s="14"/>
      <c r="P213" s="1">
        <f>SUM(OSRRefP22_23x_0)</f>
        <v>895.63</v>
      </c>
      <c r="Q213" s="1"/>
      <c r="R213" s="5">
        <f t="shared" ref="R213:R218" si="133">IF(P$12=0,0,P213/P$12)</f>
        <v>2.1935591897192258E-4</v>
      </c>
      <c r="S213" s="1"/>
      <c r="T213" s="1">
        <f>SUM(OSRRefT22_23x_0)</f>
        <v>12210</v>
      </c>
      <c r="U213" s="1"/>
      <c r="V213" s="5">
        <f t="shared" ref="V213:V218" si="134">IF(T$12=0,0,T213/T$12)</f>
        <v>1.5929304676066305E-3</v>
      </c>
      <c r="W213" s="1"/>
      <c r="X213" s="1">
        <f t="shared" ref="X213:X218" si="135">+P213-T213</f>
        <v>-11314.37</v>
      </c>
      <c r="Y213" s="1"/>
      <c r="Z213" s="5">
        <f t="shared" ref="Z213:Z218" si="136">IF(T213=0,0,X213/T213)</f>
        <v>-0.92664782964782977</v>
      </c>
    </row>
    <row r="214" spans="1:26" s="24" customFormat="1" hidden="1" outlineLevel="2" x14ac:dyDescent="0.25">
      <c r="A214" s="27"/>
      <c r="B214" s="11" t="str">
        <f>CONCATENATE("          ", "6376", " - ", "TRAINING")</f>
        <v xml:space="preserve">          6376 - TRAINING</v>
      </c>
      <c r="C214" s="11"/>
      <c r="D214" s="7">
        <v>750</v>
      </c>
      <c r="E214" s="2"/>
      <c r="F214" s="6">
        <f t="shared" si="129"/>
        <v>3.6950518083214041E-3</v>
      </c>
      <c r="G214" s="2"/>
      <c r="H214" s="7">
        <v>5000</v>
      </c>
      <c r="I214" s="2"/>
      <c r="J214" s="6">
        <f t="shared" si="130"/>
        <v>6.4044103331318079E-3</v>
      </c>
      <c r="K214" s="2"/>
      <c r="L214" s="7">
        <f t="shared" si="131"/>
        <v>-4250</v>
      </c>
      <c r="M214" s="2"/>
      <c r="N214" s="6">
        <f t="shared" si="132"/>
        <v>-0.85</v>
      </c>
      <c r="O214" s="11"/>
      <c r="P214" s="7">
        <v>895.63</v>
      </c>
      <c r="Q214" s="2"/>
      <c r="R214" s="6">
        <f t="shared" si="133"/>
        <v>2.1935591897192258E-4</v>
      </c>
      <c r="S214" s="2"/>
      <c r="T214" s="7">
        <v>12210</v>
      </c>
      <c r="U214" s="2"/>
      <c r="V214" s="6">
        <f t="shared" si="134"/>
        <v>1.5929304676066305E-3</v>
      </c>
      <c r="W214" s="2"/>
      <c r="X214" s="7">
        <f t="shared" si="135"/>
        <v>-11314.37</v>
      </c>
      <c r="Y214" s="2"/>
      <c r="Z214" s="6">
        <f t="shared" si="136"/>
        <v>-0.92664782964782977</v>
      </c>
    </row>
    <row r="215" spans="1:26" s="28" customFormat="1" outlineLevel="1" collapsed="1" x14ac:dyDescent="0.25">
      <c r="A215" s="29"/>
      <c r="B215" s="14" t="str">
        <f>CONCATENATE("     ","Travel                                            ")</f>
        <v xml:space="preserve">     Travel                                            </v>
      </c>
      <c r="C215" s="14"/>
      <c r="D215" s="1">
        <f>SUM(OSRRefD22_24x_0)</f>
        <v>0</v>
      </c>
      <c r="E215" s="1"/>
      <c r="F215" s="5">
        <f t="shared" si="129"/>
        <v>0</v>
      </c>
      <c r="G215" s="1"/>
      <c r="H215" s="1">
        <f>SUM(OSRRefH22_24x_0)</f>
        <v>50</v>
      </c>
      <c r="I215" s="1"/>
      <c r="J215" s="5">
        <f t="shared" si="130"/>
        <v>6.4044103331318083E-5</v>
      </c>
      <c r="K215" s="1"/>
      <c r="L215" s="1">
        <f t="shared" si="131"/>
        <v>-50</v>
      </c>
      <c r="M215" s="1"/>
      <c r="N215" s="5">
        <f t="shared" si="132"/>
        <v>-1</v>
      </c>
      <c r="O215" s="14"/>
      <c r="P215" s="1">
        <f>SUM(OSRRefP22_24x_0)</f>
        <v>810.31000000000006</v>
      </c>
      <c r="Q215" s="1"/>
      <c r="R215" s="5">
        <f t="shared" si="133"/>
        <v>1.9845951419909851E-4</v>
      </c>
      <c r="S215" s="1"/>
      <c r="T215" s="1">
        <f>SUM(OSRRefT22_24x_0)</f>
        <v>2100</v>
      </c>
      <c r="U215" s="1"/>
      <c r="V215" s="5">
        <f t="shared" si="134"/>
        <v>2.7396838509204948E-4</v>
      </c>
      <c r="W215" s="1"/>
      <c r="X215" s="1">
        <f t="shared" si="135"/>
        <v>-1289.69</v>
      </c>
      <c r="Y215" s="1"/>
      <c r="Z215" s="5">
        <f t="shared" si="136"/>
        <v>-0.61413809523809526</v>
      </c>
    </row>
    <row r="216" spans="1:26" s="24" customFormat="1" hidden="1" outlineLevel="2" x14ac:dyDescent="0.25">
      <c r="A216" s="27"/>
      <c r="B216" s="11" t="str">
        <f>CONCATENATE("          ", "6292", " - ", "TRAVEL/CONFERENCE")</f>
        <v xml:space="preserve">          6292 - TRAVEL/CONFERENCE</v>
      </c>
      <c r="C216" s="11"/>
      <c r="D216" s="7"/>
      <c r="E216" s="2"/>
      <c r="F216" s="6">
        <f t="shared" si="129"/>
        <v>0</v>
      </c>
      <c r="G216" s="2"/>
      <c r="H216" s="7"/>
      <c r="I216" s="2"/>
      <c r="J216" s="6">
        <f t="shared" si="130"/>
        <v>0</v>
      </c>
      <c r="K216" s="2"/>
      <c r="L216" s="7">
        <f t="shared" si="131"/>
        <v>0</v>
      </c>
      <c r="M216" s="2"/>
      <c r="N216" s="6">
        <f t="shared" si="132"/>
        <v>0</v>
      </c>
      <c r="O216" s="11"/>
      <c r="P216" s="7">
        <v>299.16000000000003</v>
      </c>
      <c r="Q216" s="2"/>
      <c r="R216" s="6">
        <f t="shared" si="133"/>
        <v>7.3269672431294585E-5</v>
      </c>
      <c r="S216" s="2"/>
      <c r="T216" s="7">
        <v>1500</v>
      </c>
      <c r="U216" s="2"/>
      <c r="V216" s="6">
        <f t="shared" si="134"/>
        <v>1.9569170363717818E-4</v>
      </c>
      <c r="W216" s="2"/>
      <c r="X216" s="7">
        <f t="shared" si="135"/>
        <v>-1200.8399999999999</v>
      </c>
      <c r="Y216" s="2"/>
      <c r="Z216" s="6">
        <f t="shared" si="136"/>
        <v>-0.80055999999999994</v>
      </c>
    </row>
    <row r="217" spans="1:26" s="24" customFormat="1" hidden="1" outlineLevel="2" x14ac:dyDescent="0.25">
      <c r="A217" s="27"/>
      <c r="B217" s="11" t="str">
        <f>CONCATENATE("          ", "6294", " - ", "TRAVEL OPERATIONAL")</f>
        <v xml:space="preserve">          6294 - TRAVEL OPERATIONAL</v>
      </c>
      <c r="C217" s="11"/>
      <c r="D217" s="7"/>
      <c r="E217" s="2"/>
      <c r="F217" s="6">
        <f t="shared" si="129"/>
        <v>0</v>
      </c>
      <c r="G217" s="2"/>
      <c r="H217" s="7">
        <v>25</v>
      </c>
      <c r="I217" s="2"/>
      <c r="J217" s="6">
        <f t="shared" si="130"/>
        <v>3.2022051665659042E-5</v>
      </c>
      <c r="K217" s="2"/>
      <c r="L217" s="7">
        <f t="shared" si="131"/>
        <v>-25</v>
      </c>
      <c r="M217" s="2"/>
      <c r="N217" s="6">
        <f t="shared" si="132"/>
        <v>-1</v>
      </c>
      <c r="O217" s="11"/>
      <c r="P217" s="7">
        <v>451.26</v>
      </c>
      <c r="Q217" s="2"/>
      <c r="R217" s="6">
        <f t="shared" si="133"/>
        <v>1.105217020368565E-4</v>
      </c>
      <c r="S217" s="2"/>
      <c r="T217" s="7">
        <v>200</v>
      </c>
      <c r="U217" s="2"/>
      <c r="V217" s="6">
        <f t="shared" si="134"/>
        <v>2.6092227151623757E-5</v>
      </c>
      <c r="W217" s="2"/>
      <c r="X217" s="7">
        <f t="shared" si="135"/>
        <v>251.26</v>
      </c>
      <c r="Y217" s="2"/>
      <c r="Z217" s="6">
        <f t="shared" si="136"/>
        <v>1.2563</v>
      </c>
    </row>
    <row r="218" spans="1:26" s="24" customFormat="1" hidden="1" outlineLevel="2" x14ac:dyDescent="0.25">
      <c r="A218" s="27"/>
      <c r="B218" s="11" t="str">
        <f>CONCATENATE("          ", "6298", " - ", "VEHICLE MILEAGE")</f>
        <v xml:space="preserve">          6298 - VEHICLE MILEAGE</v>
      </c>
      <c r="C218" s="11"/>
      <c r="D218" s="7"/>
      <c r="E218" s="2"/>
      <c r="F218" s="6">
        <f t="shared" si="129"/>
        <v>0</v>
      </c>
      <c r="G218" s="2"/>
      <c r="H218" s="7">
        <v>25</v>
      </c>
      <c r="I218" s="2"/>
      <c r="J218" s="6">
        <f t="shared" si="130"/>
        <v>3.2022051665659042E-5</v>
      </c>
      <c r="K218" s="2"/>
      <c r="L218" s="7">
        <f t="shared" si="131"/>
        <v>-25</v>
      </c>
      <c r="M218" s="2"/>
      <c r="N218" s="6">
        <f t="shared" si="132"/>
        <v>-1</v>
      </c>
      <c r="O218" s="11"/>
      <c r="P218" s="7">
        <v>59.89</v>
      </c>
      <c r="Q218" s="2"/>
      <c r="R218" s="6">
        <f t="shared" si="133"/>
        <v>1.4668139730947427E-5</v>
      </c>
      <c r="S218" s="2"/>
      <c r="T218" s="7">
        <v>400</v>
      </c>
      <c r="U218" s="2"/>
      <c r="V218" s="6">
        <f t="shared" si="134"/>
        <v>5.2184454303247515E-5</v>
      </c>
      <c r="W218" s="2"/>
      <c r="X218" s="7">
        <f t="shared" si="135"/>
        <v>-340.11</v>
      </c>
      <c r="Y218" s="2"/>
      <c r="Z218" s="6">
        <f t="shared" si="136"/>
        <v>-0.850275</v>
      </c>
    </row>
    <row r="219" spans="1:26" s="28" customFormat="1" outlineLevel="1" collapsed="1" x14ac:dyDescent="0.25">
      <c r="A219" s="29"/>
      <c r="B219" s="14" t="str">
        <f>CONCATENATE("     ","Utilities                                         ")</f>
        <v xml:space="preserve">     Utilities                                         </v>
      </c>
      <c r="C219" s="14"/>
      <c r="D219" s="1">
        <f>SUM(OSRRefD22_25x_0)</f>
        <v>7297.14</v>
      </c>
      <c r="E219" s="1"/>
      <c r="F219" s="5">
        <f t="shared" ref="F219:F220" si="137">IF(D$12=0,0,D219/D$12)</f>
        <v>3.5951080470099268E-2</v>
      </c>
      <c r="G219" s="1"/>
      <c r="H219" s="1">
        <f>SUM(OSRRefH22_25x_0)</f>
        <v>9650</v>
      </c>
      <c r="I219" s="1"/>
      <c r="J219" s="5">
        <f t="shared" ref="J219:J220" si="138">IF(H$12=0,0,H219/H$12)</f>
        <v>1.2360511942944389E-2</v>
      </c>
      <c r="K219" s="1"/>
      <c r="L219" s="1">
        <f t="shared" ref="L219:L220" si="139">+D219-H219</f>
        <v>-2352.8599999999997</v>
      </c>
      <c r="M219" s="1"/>
      <c r="N219" s="5">
        <f t="shared" ref="N219:N220" si="140">IF(H219=0,0,L219/H219)</f>
        <v>-0.24381968911917096</v>
      </c>
      <c r="O219" s="14"/>
      <c r="P219" s="1">
        <f>SUM(OSRRefP22_25x_0)</f>
        <v>54918.17</v>
      </c>
      <c r="Q219" s="1"/>
      <c r="R219" s="5">
        <f t="shared" ref="R219:R220" si="141">IF(P$12=0,0,P219/P$12)</f>
        <v>1.3450449011987393E-2</v>
      </c>
      <c r="S219" s="1"/>
      <c r="T219" s="1">
        <f>SUM(OSRRefT22_25x_0)</f>
        <v>58869</v>
      </c>
      <c r="U219" s="1"/>
      <c r="V219" s="5">
        <f t="shared" ref="V219:V220" si="142">IF(T$12=0,0,T219/T$12)</f>
        <v>7.6801166009446949E-3</v>
      </c>
      <c r="W219" s="1"/>
      <c r="X219" s="1">
        <f t="shared" ref="X219:X220" si="143">+P219-T219</f>
        <v>-3950.8300000000017</v>
      </c>
      <c r="Y219" s="1"/>
      <c r="Z219" s="5">
        <f t="shared" ref="Z219:Z220" si="144">IF(T219=0,0,X219/T219)</f>
        <v>-6.7112232244475045E-2</v>
      </c>
    </row>
    <row r="220" spans="1:26" s="24" customFormat="1" hidden="1" outlineLevel="2" x14ac:dyDescent="0.25">
      <c r="A220" s="27"/>
      <c r="B220" s="11" t="str">
        <f>CONCATENATE("          ", "6274", " - ", "UTILITIES")</f>
        <v xml:space="preserve">          6274 - UTILITIES</v>
      </c>
      <c r="C220" s="11"/>
      <c r="D220" s="7">
        <v>7297.14</v>
      </c>
      <c r="E220" s="2"/>
      <c r="F220" s="6">
        <f t="shared" si="137"/>
        <v>3.5951080470099268E-2</v>
      </c>
      <c r="G220" s="2"/>
      <c r="H220" s="7">
        <v>9650</v>
      </c>
      <c r="I220" s="2"/>
      <c r="J220" s="6">
        <f t="shared" si="138"/>
        <v>1.2360511942944389E-2</v>
      </c>
      <c r="K220" s="2"/>
      <c r="L220" s="7">
        <f t="shared" si="139"/>
        <v>-2352.8599999999997</v>
      </c>
      <c r="M220" s="2"/>
      <c r="N220" s="6">
        <f t="shared" si="140"/>
        <v>-0.24381968911917096</v>
      </c>
      <c r="O220" s="11"/>
      <c r="P220" s="7">
        <v>54918.17</v>
      </c>
      <c r="Q220" s="2"/>
      <c r="R220" s="6">
        <f t="shared" si="141"/>
        <v>1.3450449011987393E-2</v>
      </c>
      <c r="S220" s="2"/>
      <c r="T220" s="7">
        <v>58869</v>
      </c>
      <c r="U220" s="2"/>
      <c r="V220" s="6">
        <f t="shared" si="142"/>
        <v>7.6801166009446949E-3</v>
      </c>
      <c r="W220" s="2"/>
      <c r="X220" s="7">
        <f t="shared" si="143"/>
        <v>-3950.8300000000017</v>
      </c>
      <c r="Y220" s="2"/>
      <c r="Z220" s="6">
        <f t="shared" si="144"/>
        <v>-6.7112232244475045E-2</v>
      </c>
    </row>
    <row r="221" spans="1:26" s="58" customFormat="1" x14ac:dyDescent="0.25">
      <c r="A221" s="36"/>
      <c r="B221" s="36"/>
      <c r="C221" s="36"/>
      <c r="D221" s="1"/>
      <c r="E221" s="1"/>
      <c r="F221" s="5"/>
      <c r="G221" s="1"/>
      <c r="H221" s="1"/>
      <c r="I221" s="1"/>
      <c r="J221" s="5"/>
      <c r="K221" s="1"/>
      <c r="L221" s="1"/>
      <c r="M221" s="1"/>
      <c r="N221" s="5"/>
      <c r="O221" s="36"/>
      <c r="P221" s="1"/>
      <c r="Q221" s="1"/>
      <c r="R221" s="5"/>
      <c r="S221" s="1"/>
      <c r="T221" s="1"/>
      <c r="U221" s="1"/>
      <c r="V221" s="5"/>
      <c r="W221" s="1"/>
      <c r="X221" s="1"/>
      <c r="Y221" s="1"/>
      <c r="Z221" s="5"/>
    </row>
    <row r="222" spans="1:26" s="23" customFormat="1" collapsed="1" x14ac:dyDescent="0.25">
      <c r="A222" s="10"/>
      <c r="B222" s="26" t="s">
        <v>0</v>
      </c>
      <c r="C222" s="10"/>
      <c r="D222" s="4">
        <f>SUM(OSRRefD25x_0)</f>
        <v>196876.80000000002</v>
      </c>
      <c r="E222" s="4"/>
      <c r="F222" s="12">
        <f t="shared" ref="F222:F226" si="145">IF(D$12=0,0,D222/D$12)</f>
        <v>0.96995996780870863</v>
      </c>
      <c r="G222" s="4"/>
      <c r="H222" s="4">
        <f>SUM(OSRRefH25x_0)</f>
        <v>114946</v>
      </c>
      <c r="I222" s="4"/>
      <c r="J222" s="12">
        <f t="shared" ref="J222:J226" si="146">IF(H$12=0,0,H222/H$12)</f>
        <v>0.14723227003043377</v>
      </c>
      <c r="K222" s="4"/>
      <c r="L222" s="4">
        <f t="shared" ref="L222:L226" si="147">+D222-H222</f>
        <v>81930.800000000017</v>
      </c>
      <c r="M222" s="4"/>
      <c r="N222" s="12">
        <f t="shared" ref="N222:N226" si="148">IF(H222=0,0,L222/H222)</f>
        <v>0.71277643415168879</v>
      </c>
      <c r="O222" s="10"/>
      <c r="P222" s="4">
        <f>SUM(OSRRefP25x_0)</f>
        <v>773255.40999999992</v>
      </c>
      <c r="Q222" s="4"/>
      <c r="R222" s="12">
        <f t="shared" ref="R222:R226" si="149">IF(P$12=0,0,P222/P$12)</f>
        <v>0.18938417768560764</v>
      </c>
      <c r="S222" s="4"/>
      <c r="T222" s="4">
        <f>SUM(OSRRefT25x_0)</f>
        <v>628900</v>
      </c>
      <c r="U222" s="4"/>
      <c r="V222" s="12">
        <f t="shared" ref="V222:V226" si="150">IF(T$12=0,0,T222/T$12)</f>
        <v>8.2047008278280903E-2</v>
      </c>
      <c r="W222" s="4"/>
      <c r="X222" s="4">
        <f t="shared" ref="X222:X226" si="151">+P222-T222</f>
        <v>144355.40999999992</v>
      </c>
      <c r="Y222" s="4"/>
      <c r="Z222" s="12">
        <f t="shared" ref="Z222:Z226" si="152">IF(T222=0,0,X222/T222)</f>
        <v>0.22953634918110974</v>
      </c>
    </row>
    <row r="223" spans="1:26" s="24" customFormat="1" hidden="1" outlineLevel="1" x14ac:dyDescent="0.25">
      <c r="A223" s="51"/>
      <c r="B223" s="11" t="str">
        <f>CONCATENATE("          ", "9150", " - ", "MISC. INCOME")</f>
        <v xml:space="preserve">          9150 - MISC. INCOME</v>
      </c>
      <c r="C223" s="11"/>
      <c r="D223" s="2">
        <f>--52128.38</f>
        <v>52128.38</v>
      </c>
      <c r="E223" s="2"/>
      <c r="F223" s="22">
        <f t="shared" si="145"/>
        <v>0.25682275304515373</v>
      </c>
      <c r="G223" s="2"/>
      <c r="H223" s="2">
        <v>20650</v>
      </c>
      <c r="I223" s="2"/>
      <c r="J223" s="22">
        <f t="shared" si="146"/>
        <v>2.6450214675834367E-2</v>
      </c>
      <c r="K223" s="2"/>
      <c r="L223" s="2">
        <f t="shared" si="147"/>
        <v>31478.379999999997</v>
      </c>
      <c r="M223" s="2"/>
      <c r="N223" s="22">
        <f t="shared" si="148"/>
        <v>1.5243767554479417</v>
      </c>
      <c r="O223" s="11"/>
      <c r="P223" s="2">
        <f>--300611.5</f>
        <v>300611.5</v>
      </c>
      <c r="Q223" s="2"/>
      <c r="R223" s="22">
        <f t="shared" si="149"/>
        <v>7.3625170925525174E-2</v>
      </c>
      <c r="S223" s="2"/>
      <c r="T223" s="2">
        <v>162500</v>
      </c>
      <c r="U223" s="2"/>
      <c r="V223" s="22">
        <f t="shared" si="150"/>
        <v>2.1199934560694304E-2</v>
      </c>
      <c r="W223" s="2"/>
      <c r="X223" s="2">
        <f t="shared" si="151"/>
        <v>138111.5</v>
      </c>
      <c r="Y223" s="2"/>
      <c r="Z223" s="22">
        <f t="shared" si="152"/>
        <v>0.84991692307692313</v>
      </c>
    </row>
    <row r="224" spans="1:26" s="24" customFormat="1" hidden="1" outlineLevel="1" x14ac:dyDescent="0.25">
      <c r="A224" s="51"/>
      <c r="B224" s="11" t="str">
        <f>CONCATENATE("          ", "9151", " - ", "MISC. INCOME")</f>
        <v xml:space="preserve">          9151 - MISC. INCOME</v>
      </c>
      <c r="C224" s="11"/>
      <c r="D224" s="2">
        <f>--148653.31</f>
        <v>148653.31</v>
      </c>
      <c r="E224" s="2"/>
      <c r="F224" s="22">
        <f t="shared" si="145"/>
        <v>0.73237557590461633</v>
      </c>
      <c r="G224" s="2"/>
      <c r="H224" s="2">
        <v>94296</v>
      </c>
      <c r="I224" s="2"/>
      <c r="J224" s="22">
        <f t="shared" si="146"/>
        <v>0.12078205535459939</v>
      </c>
      <c r="K224" s="2"/>
      <c r="L224" s="2">
        <f t="shared" si="147"/>
        <v>54357.31</v>
      </c>
      <c r="M224" s="2"/>
      <c r="N224" s="22">
        <f t="shared" si="148"/>
        <v>0.57645403834733178</v>
      </c>
      <c r="O224" s="11"/>
      <c r="P224" s="2">
        <f>--297910.7</f>
        <v>297910.7</v>
      </c>
      <c r="Q224" s="2"/>
      <c r="R224" s="22">
        <f t="shared" si="149"/>
        <v>7.2963696359064287E-2</v>
      </c>
      <c r="S224" s="2"/>
      <c r="T224" s="2">
        <v>466400</v>
      </c>
      <c r="U224" s="2"/>
      <c r="V224" s="22">
        <f t="shared" si="150"/>
        <v>6.0847073717586603E-2</v>
      </c>
      <c r="W224" s="2"/>
      <c r="X224" s="2">
        <f t="shared" si="151"/>
        <v>-168489.3</v>
      </c>
      <c r="Y224" s="2"/>
      <c r="Z224" s="22">
        <f t="shared" si="152"/>
        <v>-0.36125493138936532</v>
      </c>
    </row>
    <row r="225" spans="1:26" s="24" customFormat="1" hidden="1" outlineLevel="1" x14ac:dyDescent="0.25">
      <c r="A225" s="51"/>
      <c r="B225" s="11" t="str">
        <f>CONCATENATE("          ", "9152", " - ", "MISC. INCOME")</f>
        <v xml:space="preserve">          9152 - MISC. INCOME</v>
      </c>
      <c r="C225" s="11"/>
      <c r="D225" s="2">
        <f>--81.19</f>
        <v>81.19</v>
      </c>
      <c r="E225" s="2"/>
      <c r="F225" s="22">
        <f t="shared" si="145"/>
        <v>4.0000167509015303E-4</v>
      </c>
      <c r="G225" s="2"/>
      <c r="H225" s="2"/>
      <c r="I225" s="2"/>
      <c r="J225" s="22">
        <f t="shared" si="146"/>
        <v>0</v>
      </c>
      <c r="K225" s="2"/>
      <c r="L225" s="2">
        <f t="shared" si="147"/>
        <v>81.19</v>
      </c>
      <c r="M225" s="2"/>
      <c r="N225" s="22">
        <f t="shared" si="148"/>
        <v>0</v>
      </c>
      <c r="O225" s="11"/>
      <c r="P225" s="2">
        <f>--3313.45</f>
        <v>3313.45</v>
      </c>
      <c r="Q225" s="2"/>
      <c r="R225" s="22">
        <f t="shared" si="149"/>
        <v>8.1152358643359068E-4</v>
      </c>
      <c r="S225" s="2"/>
      <c r="T225" s="2"/>
      <c r="U225" s="2"/>
      <c r="V225" s="22">
        <f t="shared" si="150"/>
        <v>0</v>
      </c>
      <c r="W225" s="2"/>
      <c r="X225" s="2">
        <f t="shared" si="151"/>
        <v>3313.45</v>
      </c>
      <c r="Y225" s="2"/>
      <c r="Z225" s="22">
        <f t="shared" si="152"/>
        <v>0</v>
      </c>
    </row>
    <row r="226" spans="1:26" s="24" customFormat="1" hidden="1" outlineLevel="1" x14ac:dyDescent="0.25">
      <c r="A226" s="51"/>
      <c r="B226" s="11" t="str">
        <f>CONCATENATE("          ", "9163", " - ", "MISC. INCOME")</f>
        <v xml:space="preserve">          9163 - MISC. INCOME</v>
      </c>
      <c r="C226" s="11"/>
      <c r="D226" s="2">
        <f>-3986.08</f>
        <v>-3986.08</v>
      </c>
      <c r="E226" s="2"/>
      <c r="F226" s="22">
        <f t="shared" si="145"/>
        <v>-1.9638362816151708E-2</v>
      </c>
      <c r="G226" s="2"/>
      <c r="H226" s="2"/>
      <c r="I226" s="2"/>
      <c r="J226" s="22">
        <f t="shared" si="146"/>
        <v>0</v>
      </c>
      <c r="K226" s="2"/>
      <c r="L226" s="2">
        <f t="shared" si="147"/>
        <v>-3986.08</v>
      </c>
      <c r="M226" s="2"/>
      <c r="N226" s="22">
        <f t="shared" si="148"/>
        <v>0</v>
      </c>
      <c r="O226" s="11"/>
      <c r="P226" s="2">
        <f>--171419.76</f>
        <v>171419.76</v>
      </c>
      <c r="Q226" s="2"/>
      <c r="R226" s="22">
        <f t="shared" si="149"/>
        <v>4.1983786814584617E-2</v>
      </c>
      <c r="S226" s="2"/>
      <c r="T226" s="2"/>
      <c r="U226" s="2"/>
      <c r="V226" s="22">
        <f t="shared" si="150"/>
        <v>0</v>
      </c>
      <c r="W226" s="2"/>
      <c r="X226" s="2">
        <f t="shared" si="151"/>
        <v>171419.76</v>
      </c>
      <c r="Y226" s="2"/>
      <c r="Z226" s="22">
        <f t="shared" si="152"/>
        <v>0</v>
      </c>
    </row>
    <row r="227" spans="1:26" x14ac:dyDescent="0.25">
      <c r="A227" s="9"/>
      <c r="B227" s="10"/>
      <c r="C227" s="10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O227" s="10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x14ac:dyDescent="0.25">
      <c r="A228" s="10"/>
      <c r="B228" s="25" t="s">
        <v>3</v>
      </c>
      <c r="C228" s="25"/>
      <c r="D228" s="19">
        <f>+D119-D121+D222</f>
        <v>-919.54999999998836</v>
      </c>
      <c r="E228" s="13"/>
      <c r="F228" s="21">
        <f>IF(D$12=0,0,D228/D$12)</f>
        <v>-4.5303798537892053E-3</v>
      </c>
      <c r="G228" s="13"/>
      <c r="H228" s="19">
        <f>+H119-H121+H222</f>
        <v>72322.700518371537</v>
      </c>
      <c r="I228" s="13"/>
      <c r="J228" s="21">
        <f>IF(H$12=0,0,H228/H$12)</f>
        <v>9.2636850103971172E-2</v>
      </c>
      <c r="K228" s="15"/>
      <c r="L228" s="19">
        <f>+D228-H228</f>
        <v>-73242.250518371526</v>
      </c>
      <c r="M228" s="15"/>
      <c r="N228" s="21">
        <f>IF(H228=0,0,L228/H228)</f>
        <v>-1.0127145418161811</v>
      </c>
      <c r="O228" s="26"/>
      <c r="P228" s="19">
        <f>+P119-P121+P222</f>
        <v>-153963.14000000223</v>
      </c>
      <c r="Q228" s="13"/>
      <c r="R228" s="21">
        <f>IF(P$12=0,0,P228/P$12)</f>
        <v>-3.7708346150199593E-2</v>
      </c>
      <c r="S228" s="13"/>
      <c r="T228" s="19">
        <f>+T119-T121+T222</f>
        <v>265446.89162994828</v>
      </c>
      <c r="U228" s="13"/>
      <c r="V228" s="21">
        <f>IF(T$12=0,0,T228/T$12)</f>
        <v>3.4630502965505329E-2</v>
      </c>
      <c r="W228" s="15"/>
      <c r="X228" s="19">
        <f>+P228-T228</f>
        <v>-419410.03162995051</v>
      </c>
      <c r="Y228" s="15"/>
      <c r="Z228" s="21">
        <f>IF(T228=0,0,X228/T228)</f>
        <v>-1.5800148536477787</v>
      </c>
    </row>
    <row r="229" spans="1:26" x14ac:dyDescent="0.25">
      <c r="A229" s="9"/>
      <c r="B229" s="10"/>
      <c r="C229" s="9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x14ac:dyDescent="0.25">
      <c r="A230" s="52"/>
      <c r="B230" s="10" t="s">
        <v>14</v>
      </c>
      <c r="C230" s="10"/>
      <c r="D230" s="4">
        <v>104252.68</v>
      </c>
      <c r="E230" s="4"/>
      <c r="F230" s="12">
        <f>IF(D$12=0,0,D230/D$12)</f>
        <v>0.5136254050084702</v>
      </c>
      <c r="G230" s="4"/>
      <c r="H230" s="4">
        <v>122192</v>
      </c>
      <c r="I230" s="4"/>
      <c r="J230" s="12">
        <f>IF(H$12=0,0,H230/H$12)</f>
        <v>0.15651354148520838</v>
      </c>
      <c r="K230" s="4"/>
      <c r="L230" s="4">
        <f>+D230-H230</f>
        <v>-17939.320000000007</v>
      </c>
      <c r="M230" s="4"/>
      <c r="N230" s="12">
        <f>IF(H230=0,0,L230/H230)</f>
        <v>-0.14681255728689283</v>
      </c>
      <c r="O230" s="10"/>
      <c r="P230" s="4">
        <v>808579.84</v>
      </c>
      <c r="Q230" s="4"/>
      <c r="R230" s="12">
        <f>IF(P$12=0,0,P230/P$12)</f>
        <v>0.19803576685167995</v>
      </c>
      <c r="S230" s="4"/>
      <c r="T230" s="4">
        <v>1322417</v>
      </c>
      <c r="U230" s="4"/>
      <c r="V230" s="12">
        <f>IF(T$12=0,0,T230/T$12)</f>
        <v>0.17252402376584419</v>
      </c>
      <c r="W230" s="4"/>
      <c r="X230" s="4">
        <f>+P230-T230</f>
        <v>-513837.16000000003</v>
      </c>
      <c r="Y230" s="4"/>
      <c r="Z230" s="12">
        <f>IF(T230=0,0,X230/T230)</f>
        <v>-0.38855910049553205</v>
      </c>
    </row>
    <row r="231" spans="1:26" x14ac:dyDescent="0.25">
      <c r="A231" s="9"/>
      <c r="B231" s="10"/>
      <c r="C231" s="10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O231" s="10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.75" thickBot="1" x14ac:dyDescent="0.3">
      <c r="A232" s="10"/>
      <c r="B232" s="25" t="s">
        <v>4</v>
      </c>
      <c r="C232" s="25"/>
      <c r="D232" s="34">
        <f>+D228-D230</f>
        <v>-105172.22999999998</v>
      </c>
      <c r="E232" s="13"/>
      <c r="F232" s="30">
        <f>IF(D$12=0,0,D232/D$12)</f>
        <v>-0.51815578486225944</v>
      </c>
      <c r="G232" s="13"/>
      <c r="H232" s="34">
        <f>+H228-H230</f>
        <v>-49869.299481628463</v>
      </c>
      <c r="I232" s="13"/>
      <c r="J232" s="30">
        <f>IF(H$12=0,0,H232/H$12)</f>
        <v>-6.3876691381237208E-2</v>
      </c>
      <c r="K232" s="15"/>
      <c r="L232" s="34">
        <f>D232-H232</f>
        <v>-55302.930518371519</v>
      </c>
      <c r="M232" s="15"/>
      <c r="N232" s="30">
        <f>IF(H232=0,0,L232/H232)</f>
        <v>1.108957436603752</v>
      </c>
      <c r="O232" s="26"/>
      <c r="P232" s="34">
        <f>+P228-P230</f>
        <v>-962542.98000000219</v>
      </c>
      <c r="Q232" s="13"/>
      <c r="R232" s="30">
        <f>IF(P$12=0,0,P232/P$12)</f>
        <v>-0.23574411300187956</v>
      </c>
      <c r="S232" s="13"/>
      <c r="T232" s="34">
        <f>+T228-T230</f>
        <v>-1056970.1083700517</v>
      </c>
      <c r="U232" s="13"/>
      <c r="V232" s="30">
        <f>IF(T$12=0,0,T232/T$12)</f>
        <v>-0.13789352080033884</v>
      </c>
      <c r="W232" s="15"/>
      <c r="X232" s="34">
        <f>P232-T232</f>
        <v>94427.128370049526</v>
      </c>
      <c r="Y232" s="15"/>
      <c r="Z232" s="30">
        <f>IF(T232=0,0,X232/T232)</f>
        <v>-8.9337558008773896E-2</v>
      </c>
    </row>
    <row r="233" spans="1:26" ht="15.75" thickTop="1" x14ac:dyDescent="0.25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x14ac:dyDescent="0.25">
      <c r="A234" s="9"/>
      <c r="B234" s="9"/>
      <c r="C234" s="9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s="23" customFormat="1" ht="15.75" thickBot="1" x14ac:dyDescent="0.3">
      <c r="A235" s="10"/>
      <c r="B235" s="25" t="s">
        <v>5</v>
      </c>
      <c r="C235" s="25"/>
      <c r="D235" s="35">
        <f>SUM(D232:D234)</f>
        <v>-105172.22999999998</v>
      </c>
      <c r="E235" s="13"/>
      <c r="F235" s="31">
        <f>IF(D$12=0,0,D235/D$12)</f>
        <v>-0.51815578486225944</v>
      </c>
      <c r="G235" s="13"/>
      <c r="H235" s="35">
        <f>SUM(H232:H234)</f>
        <v>-49869.299481628463</v>
      </c>
      <c r="I235" s="13"/>
      <c r="J235" s="31">
        <f>IF(H$12=0,0,H235/H$12)</f>
        <v>-6.3876691381237208E-2</v>
      </c>
      <c r="K235" s="15"/>
      <c r="L235" s="35">
        <f>+D235-H235</f>
        <v>-55302.930518371519</v>
      </c>
      <c r="M235" s="15"/>
      <c r="N235" s="31">
        <f>IF(H235=0,0,L235/H235)</f>
        <v>1.108957436603752</v>
      </c>
      <c r="O235" s="26"/>
      <c r="P235" s="35">
        <f>SUM(P232:P234)</f>
        <v>-962542.98000000219</v>
      </c>
      <c r="Q235" s="13"/>
      <c r="R235" s="31">
        <f>IF(P$12=0,0,P235/P$12)</f>
        <v>-0.23574411300187956</v>
      </c>
      <c r="S235" s="13"/>
      <c r="T235" s="35">
        <f>SUM(T232:T234)</f>
        <v>-1056970.1083700517</v>
      </c>
      <c r="U235" s="13"/>
      <c r="V235" s="31">
        <f>IF(T$12=0,0,T235/T$12)</f>
        <v>-0.13789352080033884</v>
      </c>
      <c r="W235" s="15"/>
      <c r="X235" s="35">
        <f>+P235-T235</f>
        <v>94427.128370049526</v>
      </c>
      <c r="Y235" s="15"/>
      <c r="Z235" s="31">
        <f>IF(T235=0,0,X235/T235)</f>
        <v>-8.9337558008773896E-2</v>
      </c>
    </row>
    <row r="236" spans="1:26" ht="15.75" thickTop="1" x14ac:dyDescent="0.25">
      <c r="A236" s="9"/>
      <c r="C236" s="9"/>
      <c r="D236" s="18"/>
      <c r="E236" s="18"/>
      <c r="G236" s="18"/>
      <c r="H236" s="18"/>
      <c r="I236" s="18"/>
      <c r="J236" s="42"/>
      <c r="K236" s="18"/>
      <c r="L236" s="18"/>
      <c r="M236" s="18"/>
      <c r="P236" s="18"/>
      <c r="Q236" s="18"/>
      <c r="R236" s="42"/>
      <c r="S236" s="18"/>
      <c r="T236" s="18"/>
      <c r="U236" s="18"/>
      <c r="V236" s="42"/>
      <c r="W236" s="18"/>
      <c r="X236" s="18"/>
    </row>
    <row r="237" spans="1:26" x14ac:dyDescent="0.25">
      <c r="A237" s="9"/>
      <c r="B237" s="53">
        <v>44267.671310219906</v>
      </c>
      <c r="D237" s="18"/>
      <c r="E237" s="18"/>
      <c r="G237" s="18"/>
      <c r="H237" s="18"/>
      <c r="I237" s="18"/>
      <c r="J237" s="42"/>
      <c r="K237" s="18"/>
      <c r="L237" s="18"/>
      <c r="M237" s="18"/>
      <c r="P237" s="18"/>
      <c r="Q237" s="18"/>
      <c r="R237" s="42"/>
      <c r="S237" s="18"/>
      <c r="T237" s="18"/>
      <c r="U237" s="18"/>
      <c r="V237" s="42"/>
      <c r="W237" s="18"/>
      <c r="X237" s="18"/>
    </row>
    <row r="238" spans="1:26" x14ac:dyDescent="0.25">
      <c r="A238" s="9"/>
      <c r="B238" s="62" t="s">
        <v>314</v>
      </c>
      <c r="D238" s="18"/>
      <c r="E238" s="18"/>
      <c r="G238" s="18"/>
      <c r="H238" s="18"/>
      <c r="I238" s="18"/>
      <c r="J238" s="42"/>
      <c r="K238" s="18"/>
      <c r="L238" s="18"/>
      <c r="M238" s="18"/>
      <c r="P238" s="18"/>
      <c r="Q238" s="18"/>
      <c r="R238" s="42"/>
      <c r="S238" s="18"/>
      <c r="T238" s="18"/>
      <c r="U238" s="18"/>
      <c r="V238" s="42"/>
      <c r="W238" s="18"/>
      <c r="X238" s="18"/>
    </row>
    <row r="239" spans="1:26" x14ac:dyDescent="0.25">
      <c r="A239" s="9"/>
      <c r="B239" s="57"/>
      <c r="D239" s="18"/>
      <c r="E239" s="18"/>
      <c r="G239" s="18"/>
      <c r="H239" s="18"/>
      <c r="I239" s="18"/>
      <c r="J239" s="42"/>
      <c r="K239" s="18"/>
      <c r="L239" s="18"/>
      <c r="M239" s="18"/>
      <c r="P239" s="18"/>
      <c r="Q239" s="18"/>
      <c r="R239" s="42"/>
      <c r="S239" s="18"/>
      <c r="T239" s="18"/>
      <c r="U239" s="18"/>
      <c r="V239" s="42"/>
      <c r="W239" s="18"/>
      <c r="X239" s="18"/>
    </row>
    <row r="240" spans="1:26" x14ac:dyDescent="0.25">
      <c r="D240" s="18"/>
      <c r="E240" s="18"/>
      <c r="G240" s="18"/>
      <c r="H240" s="18"/>
      <c r="I240" s="18"/>
      <c r="J240" s="42"/>
      <c r="K240" s="18"/>
      <c r="L240" s="18"/>
      <c r="M240" s="18"/>
      <c r="P240" s="18"/>
      <c r="Q240" s="18"/>
      <c r="R240" s="42"/>
      <c r="S240" s="18"/>
      <c r="T240" s="18"/>
      <c r="U240" s="18"/>
      <c r="V240" s="42"/>
      <c r="W240" s="18"/>
      <c r="X240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202840.15000000002</v>
      </c>
      <c r="E12" s="4"/>
      <c r="F12" s="12"/>
      <c r="G12" s="4"/>
      <c r="H12" s="4">
        <f>SUM(OSRRefH13x_0)</f>
        <v>664920</v>
      </c>
      <c r="I12" s="4"/>
      <c r="J12" s="12"/>
      <c r="K12" s="4"/>
      <c r="L12" s="4">
        <f t="shared" ref="L12:L76" si="0">+D12-H12</f>
        <v>-462079.85</v>
      </c>
      <c r="M12" s="4"/>
      <c r="N12" s="12">
        <f t="shared" ref="N12:N76" si="1">IF(H12=0,0,L12/H12)</f>
        <v>-0.69494051916019972</v>
      </c>
      <c r="O12" s="10"/>
      <c r="P12" s="4">
        <f>SUM(OSRRefP13x_0)</f>
        <v>4080278.5399999986</v>
      </c>
      <c r="Q12" s="4"/>
      <c r="R12" s="12"/>
      <c r="S12" s="4"/>
      <c r="T12" s="4">
        <f>SUM(OSRRefT13x_0)</f>
        <v>7306777</v>
      </c>
      <c r="U12" s="4"/>
      <c r="V12" s="12"/>
      <c r="W12" s="4"/>
      <c r="X12" s="4">
        <f t="shared" ref="X12:X76" si="2">+P12-T12</f>
        <v>-3226498.4600000014</v>
      </c>
      <c r="Y12" s="4"/>
      <c r="Z12" s="12">
        <f t="shared" ref="Z12:Z76" si="3">IF(T12=0,0,X12/T12)</f>
        <v>-0.44157615046962584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-7353.1</f>
        <v>-7353.1</v>
      </c>
      <c r="E13" s="2"/>
      <c r="F13" s="22"/>
      <c r="G13" s="2"/>
      <c r="H13" s="2">
        <v>602264</v>
      </c>
      <c r="I13" s="2"/>
      <c r="J13" s="22"/>
      <c r="K13" s="2"/>
      <c r="L13" s="2">
        <f t="shared" si="0"/>
        <v>-609617.1</v>
      </c>
      <c r="M13" s="2"/>
      <c r="N13" s="22">
        <f t="shared" si="1"/>
        <v>-1.0122090976714531</v>
      </c>
      <c r="O13" s="11"/>
      <c r="P13" s="2">
        <f>-108361.13</f>
        <v>-108361.13</v>
      </c>
      <c r="Q13" s="2"/>
      <c r="R13" s="22"/>
      <c r="S13" s="2"/>
      <c r="T13" s="2">
        <v>7136587</v>
      </c>
      <c r="U13" s="2"/>
      <c r="V13" s="22"/>
      <c r="W13" s="2"/>
      <c r="X13" s="2">
        <f t="shared" si="2"/>
        <v>-7244948.1299999999</v>
      </c>
      <c r="Y13" s="2"/>
      <c r="Z13" s="22">
        <f t="shared" si="3"/>
        <v>-1.0151838869196157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22"/>
      <c r="G14" s="2"/>
      <c r="H14" s="2"/>
      <c r="I14" s="2"/>
      <c r="J14" s="22"/>
      <c r="K14" s="2"/>
      <c r="L14" s="2">
        <f t="shared" si="0"/>
        <v>34627.67</v>
      </c>
      <c r="M14" s="2"/>
      <c r="N14" s="22">
        <f t="shared" si="1"/>
        <v>0</v>
      </c>
      <c r="O14" s="11"/>
      <c r="P14" s="2">
        <f>--1224724.01</f>
        <v>1224724.01</v>
      </c>
      <c r="Q14" s="2"/>
      <c r="R14" s="22"/>
      <c r="S14" s="2"/>
      <c r="T14" s="2"/>
      <c r="U14" s="2"/>
      <c r="V14" s="22"/>
      <c r="W14" s="2"/>
      <c r="X14" s="2">
        <f t="shared" si="2"/>
        <v>1224724.01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22"/>
      <c r="G15" s="2"/>
      <c r="H15" s="2"/>
      <c r="I15" s="2"/>
      <c r="J15" s="22"/>
      <c r="K15" s="2"/>
      <c r="L15" s="2">
        <f t="shared" si="0"/>
        <v>12732.98</v>
      </c>
      <c r="M15" s="2"/>
      <c r="N15" s="22">
        <f t="shared" si="1"/>
        <v>0</v>
      </c>
      <c r="O15" s="11"/>
      <c r="P15" s="2">
        <f>--575134.48</f>
        <v>575134.48</v>
      </c>
      <c r="Q15" s="2"/>
      <c r="R15" s="22"/>
      <c r="S15" s="2"/>
      <c r="T15" s="2"/>
      <c r="U15" s="2"/>
      <c r="V15" s="22"/>
      <c r="W15" s="2"/>
      <c r="X15" s="2">
        <f t="shared" si="2"/>
        <v>575134.48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--41.38</f>
        <v>41.38</v>
      </c>
      <c r="E21" s="2"/>
      <c r="F21" s="22"/>
      <c r="G21" s="2"/>
      <c r="H21" s="2"/>
      <c r="I21" s="2"/>
      <c r="J21" s="22"/>
      <c r="K21" s="2"/>
      <c r="L21" s="2">
        <f t="shared" si="0"/>
        <v>41.38</v>
      </c>
      <c r="M21" s="2"/>
      <c r="N21" s="22">
        <f t="shared" si="1"/>
        <v>0</v>
      </c>
      <c r="O21" s="11"/>
      <c r="P21" s="2">
        <f>--448.38</f>
        <v>448.38</v>
      </c>
      <c r="Q21" s="2"/>
      <c r="R21" s="22"/>
      <c r="S21" s="2"/>
      <c r="T21" s="2"/>
      <c r="U21" s="2"/>
      <c r="V21" s="22"/>
      <c r="W21" s="2"/>
      <c r="X21" s="2">
        <f t="shared" si="2"/>
        <v>448.38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--5808.1</f>
        <v>5808.1</v>
      </c>
      <c r="E22" s="2"/>
      <c r="F22" s="22"/>
      <c r="G22" s="2"/>
      <c r="H22" s="2"/>
      <c r="I22" s="2"/>
      <c r="J22" s="22"/>
      <c r="K22" s="2"/>
      <c r="L22" s="2">
        <f t="shared" si="0"/>
        <v>5808.1</v>
      </c>
      <c r="M22" s="2"/>
      <c r="N22" s="22">
        <f t="shared" si="1"/>
        <v>0</v>
      </c>
      <c r="O22" s="11"/>
      <c r="P22" s="2">
        <f>--54484.32</f>
        <v>54484.32</v>
      </c>
      <c r="Q22" s="2"/>
      <c r="R22" s="22"/>
      <c r="S22" s="2"/>
      <c r="T22" s="2"/>
      <c r="U22" s="2"/>
      <c r="V22" s="22"/>
      <c r="W22" s="2"/>
      <c r="X22" s="2">
        <f t="shared" si="2"/>
        <v>54484.32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--1924.8</f>
        <v>1924.8</v>
      </c>
      <c r="E23" s="2"/>
      <c r="F23" s="22"/>
      <c r="G23" s="2"/>
      <c r="H23" s="2"/>
      <c r="I23" s="2"/>
      <c r="J23" s="22"/>
      <c r="K23" s="2"/>
      <c r="L23" s="2">
        <f t="shared" si="0"/>
        <v>1924.8</v>
      </c>
      <c r="M23" s="2"/>
      <c r="N23" s="22">
        <f t="shared" si="1"/>
        <v>0</v>
      </c>
      <c r="O23" s="11"/>
      <c r="P23" s="2">
        <f>--40876.62</f>
        <v>40876.620000000003</v>
      </c>
      <c r="Q23" s="2"/>
      <c r="R23" s="22"/>
      <c r="S23" s="2"/>
      <c r="T23" s="2"/>
      <c r="U23" s="2"/>
      <c r="V23" s="22"/>
      <c r="W23" s="2"/>
      <c r="X23" s="2">
        <f t="shared" si="2"/>
        <v>40876.620000000003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--593.6</f>
        <v>593.6</v>
      </c>
      <c r="E24" s="2"/>
      <c r="F24" s="22"/>
      <c r="G24" s="2"/>
      <c r="H24" s="2"/>
      <c r="I24" s="2"/>
      <c r="J24" s="22"/>
      <c r="K24" s="2"/>
      <c r="L24" s="2">
        <f t="shared" si="0"/>
        <v>593.6</v>
      </c>
      <c r="M24" s="2"/>
      <c r="N24" s="22">
        <f t="shared" si="1"/>
        <v>0</v>
      </c>
      <c r="O24" s="11"/>
      <c r="P24" s="2">
        <f>--3180.84</f>
        <v>3180.84</v>
      </c>
      <c r="Q24" s="2"/>
      <c r="R24" s="22"/>
      <c r="S24" s="2"/>
      <c r="T24" s="2"/>
      <c r="U24" s="2"/>
      <c r="V24" s="22"/>
      <c r="W24" s="2"/>
      <c r="X24" s="2">
        <f t="shared" si="2"/>
        <v>3180.84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--73245.08</f>
        <v>73245.08</v>
      </c>
      <c r="E26" s="2"/>
      <c r="F26" s="22"/>
      <c r="G26" s="2"/>
      <c r="H26" s="2"/>
      <c r="I26" s="2"/>
      <c r="J26" s="22"/>
      <c r="K26" s="2"/>
      <c r="L26" s="2">
        <f t="shared" si="0"/>
        <v>73245.08</v>
      </c>
      <c r="M26" s="2"/>
      <c r="N26" s="22">
        <f t="shared" si="1"/>
        <v>0</v>
      </c>
      <c r="O26" s="11"/>
      <c r="P26" s="2">
        <f>--671347.98</f>
        <v>671347.98</v>
      </c>
      <c r="Q26" s="2"/>
      <c r="R26" s="22"/>
      <c r="S26" s="2"/>
      <c r="T26" s="2"/>
      <c r="U26" s="2"/>
      <c r="V26" s="22"/>
      <c r="W26" s="2"/>
      <c r="X26" s="2">
        <f t="shared" si="2"/>
        <v>671347.98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--27100.04</f>
        <v>27100.04</v>
      </c>
      <c r="E27" s="2"/>
      <c r="F27" s="22"/>
      <c r="G27" s="2"/>
      <c r="H27" s="2"/>
      <c r="I27" s="2"/>
      <c r="J27" s="22"/>
      <c r="K27" s="2"/>
      <c r="L27" s="2">
        <f t="shared" si="0"/>
        <v>27100.04</v>
      </c>
      <c r="M27" s="2"/>
      <c r="N27" s="22">
        <f t="shared" si="1"/>
        <v>0</v>
      </c>
      <c r="O27" s="11"/>
      <c r="P27" s="2">
        <f>--276199.31</f>
        <v>276199.31</v>
      </c>
      <c r="Q27" s="2"/>
      <c r="R27" s="22"/>
      <c r="S27" s="2"/>
      <c r="T27" s="2"/>
      <c r="U27" s="2"/>
      <c r="V27" s="22"/>
      <c r="W27" s="2"/>
      <c r="X27" s="2">
        <f t="shared" si="2"/>
        <v>276199.31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--4794.04</f>
        <v>4794.04</v>
      </c>
      <c r="E28" s="2"/>
      <c r="F28" s="22"/>
      <c r="G28" s="2"/>
      <c r="H28" s="2"/>
      <c r="I28" s="2"/>
      <c r="J28" s="22"/>
      <c r="K28" s="2"/>
      <c r="L28" s="2">
        <f t="shared" si="0"/>
        <v>4794.04</v>
      </c>
      <c r="M28" s="2"/>
      <c r="N28" s="22">
        <f t="shared" si="1"/>
        <v>0</v>
      </c>
      <c r="O28" s="11"/>
      <c r="P28" s="2">
        <f>--78994.92</f>
        <v>78994.92</v>
      </c>
      <c r="Q28" s="2"/>
      <c r="R28" s="22"/>
      <c r="S28" s="2"/>
      <c r="T28" s="2"/>
      <c r="U28" s="2"/>
      <c r="V28" s="22"/>
      <c r="W28" s="2"/>
      <c r="X28" s="2">
        <f t="shared" si="2"/>
        <v>78994.92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--6195.85</f>
        <v>6195.85</v>
      </c>
      <c r="E29" s="2"/>
      <c r="F29" s="22"/>
      <c r="G29" s="2"/>
      <c r="H29" s="2"/>
      <c r="I29" s="2"/>
      <c r="J29" s="22"/>
      <c r="K29" s="2"/>
      <c r="L29" s="2">
        <f t="shared" si="0"/>
        <v>6195.85</v>
      </c>
      <c r="M29" s="2"/>
      <c r="N29" s="22">
        <f t="shared" si="1"/>
        <v>0</v>
      </c>
      <c r="O29" s="11"/>
      <c r="P29" s="2">
        <f>--124150.66</f>
        <v>124150.66</v>
      </c>
      <c r="Q29" s="2"/>
      <c r="R29" s="22"/>
      <c r="S29" s="2"/>
      <c r="T29" s="2"/>
      <c r="U29" s="2"/>
      <c r="V29" s="22"/>
      <c r="W29" s="2"/>
      <c r="X29" s="2">
        <f t="shared" si="2"/>
        <v>124150.66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--2036.78</f>
        <v>2036.78</v>
      </c>
      <c r="E30" s="2"/>
      <c r="F30" s="22"/>
      <c r="G30" s="2"/>
      <c r="H30" s="2"/>
      <c r="I30" s="2"/>
      <c r="J30" s="22"/>
      <c r="K30" s="2"/>
      <c r="L30" s="2">
        <f t="shared" si="0"/>
        <v>2036.78</v>
      </c>
      <c r="M30" s="2"/>
      <c r="N30" s="22">
        <f t="shared" si="1"/>
        <v>0</v>
      </c>
      <c r="O30" s="11"/>
      <c r="P30" s="2">
        <f>--29572.4</f>
        <v>29572.400000000001</v>
      </c>
      <c r="Q30" s="2"/>
      <c r="R30" s="22"/>
      <c r="S30" s="2"/>
      <c r="T30" s="2"/>
      <c r="U30" s="2"/>
      <c r="V30" s="22"/>
      <c r="W30" s="2"/>
      <c r="X30" s="2">
        <f t="shared" si="2"/>
        <v>29572.400000000001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--10039.9</f>
        <v>10039.9</v>
      </c>
      <c r="E31" s="2"/>
      <c r="F31" s="22"/>
      <c r="G31" s="2"/>
      <c r="H31" s="2"/>
      <c r="I31" s="2"/>
      <c r="J31" s="22"/>
      <c r="K31" s="2"/>
      <c r="L31" s="2">
        <f t="shared" si="0"/>
        <v>10039.9</v>
      </c>
      <c r="M31" s="2"/>
      <c r="N31" s="22">
        <f t="shared" si="1"/>
        <v>0</v>
      </c>
      <c r="O31" s="11"/>
      <c r="P31" s="2">
        <f>--135489.57</f>
        <v>135489.57</v>
      </c>
      <c r="Q31" s="2"/>
      <c r="R31" s="22"/>
      <c r="S31" s="2"/>
      <c r="T31" s="2"/>
      <c r="U31" s="2"/>
      <c r="V31" s="22"/>
      <c r="W31" s="2"/>
      <c r="X31" s="2">
        <f t="shared" si="2"/>
        <v>135489.57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4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"4095", " - ", "TAXABLE SALES-CUSTOMER SERVICE")</f>
        <v xml:space="preserve">          4095 - TAXABLE SALES-CUSTOMER SERVICE</v>
      </c>
      <c r="C34" s="11"/>
      <c r="D34" s="2">
        <f>--139.85</f>
        <v>139.85</v>
      </c>
      <c r="E34" s="2"/>
      <c r="F34" s="22"/>
      <c r="G34" s="2"/>
      <c r="H34" s="2"/>
      <c r="I34" s="2"/>
      <c r="J34" s="22"/>
      <c r="K34" s="2"/>
      <c r="L34" s="2">
        <f t="shared" si="0"/>
        <v>139.85</v>
      </c>
      <c r="M34" s="2"/>
      <c r="N34" s="22">
        <f t="shared" si="1"/>
        <v>0</v>
      </c>
      <c r="O34" s="11"/>
      <c r="P34" s="2">
        <f>--139.85</f>
        <v>139.85</v>
      </c>
      <c r="Q34" s="2"/>
      <c r="R34" s="22"/>
      <c r="S34" s="2"/>
      <c r="T34" s="2"/>
      <c r="U34" s="2"/>
      <c r="V34" s="22"/>
      <c r="W34" s="2"/>
      <c r="X34" s="2">
        <f t="shared" si="2"/>
        <v>139.85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--5617.7</f>
        <v>5617.7</v>
      </c>
      <c r="E35" s="2"/>
      <c r="F35" s="22"/>
      <c r="G35" s="2"/>
      <c r="H35" s="2">
        <v>62656</v>
      </c>
      <c r="I35" s="2"/>
      <c r="J35" s="22"/>
      <c r="K35" s="2"/>
      <c r="L35" s="2">
        <f t="shared" si="0"/>
        <v>-57038.3</v>
      </c>
      <c r="M35" s="2"/>
      <c r="N35" s="22">
        <f t="shared" si="1"/>
        <v>-0.91034058988764055</v>
      </c>
      <c r="O35" s="11"/>
      <c r="P35" s="2">
        <f>--284173.56</f>
        <v>284173.56</v>
      </c>
      <c r="Q35" s="2"/>
      <c r="R35" s="22"/>
      <c r="S35" s="2"/>
      <c r="T35" s="2">
        <v>170190</v>
      </c>
      <c r="U35" s="2"/>
      <c r="V35" s="22"/>
      <c r="W35" s="2"/>
      <c r="X35" s="2">
        <f t="shared" si="2"/>
        <v>113983.56</v>
      </c>
      <c r="Y35" s="2"/>
      <c r="Z35" s="22">
        <f t="shared" si="3"/>
        <v>0.66974299312533048</v>
      </c>
    </row>
    <row r="36" spans="1:26" s="24" customFormat="1" hidden="1" outlineLevel="1" x14ac:dyDescent="0.2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--6785.91</f>
        <v>6785.91</v>
      </c>
      <c r="E36" s="2"/>
      <c r="F36" s="22"/>
      <c r="G36" s="2"/>
      <c r="H36" s="2"/>
      <c r="I36" s="2"/>
      <c r="J36" s="22"/>
      <c r="K36" s="2"/>
      <c r="L36" s="2">
        <f t="shared" si="0"/>
        <v>6785.91</v>
      </c>
      <c r="M36" s="2"/>
      <c r="N36" s="22">
        <f t="shared" si="1"/>
        <v>0</v>
      </c>
      <c r="O36" s="11"/>
      <c r="P36" s="2">
        <f>--111011.54</f>
        <v>111011.54</v>
      </c>
      <c r="Q36" s="2"/>
      <c r="R36" s="22"/>
      <c r="S36" s="2"/>
      <c r="T36" s="2"/>
      <c r="U36" s="2"/>
      <c r="V36" s="22"/>
      <c r="W36" s="2"/>
      <c r="X36" s="2">
        <f t="shared" si="2"/>
        <v>111011.54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--3426.05</f>
        <v>3426.05</v>
      </c>
      <c r="E37" s="2"/>
      <c r="F37" s="22"/>
      <c r="G37" s="2"/>
      <c r="H37" s="2"/>
      <c r="I37" s="2"/>
      <c r="J37" s="22"/>
      <c r="K37" s="2"/>
      <c r="L37" s="2">
        <f t="shared" si="0"/>
        <v>3426.05</v>
      </c>
      <c r="M37" s="2"/>
      <c r="N37" s="22">
        <f t="shared" si="1"/>
        <v>0</v>
      </c>
      <c r="O37" s="11"/>
      <c r="P37" s="2">
        <f>--46387.37</f>
        <v>46387.37</v>
      </c>
      <c r="Q37" s="2"/>
      <c r="R37" s="22"/>
      <c r="S37" s="2"/>
      <c r="T37" s="2"/>
      <c r="U37" s="2"/>
      <c r="V37" s="22"/>
      <c r="W37" s="2"/>
      <c r="X37" s="2">
        <f t="shared" si="2"/>
        <v>46387.37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--1138.95</f>
        <v>1138.95</v>
      </c>
      <c r="Q38" s="2"/>
      <c r="R38" s="22"/>
      <c r="S38" s="2"/>
      <c r="T38" s="2"/>
      <c r="U38" s="2"/>
      <c r="V38" s="22"/>
      <c r="W38" s="2"/>
      <c r="X38" s="2">
        <f t="shared" si="2"/>
        <v>1138.95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--17705.92</f>
        <v>17705.919999999998</v>
      </c>
      <c r="E39" s="2"/>
      <c r="F39" s="22"/>
      <c r="G39" s="2"/>
      <c r="H39" s="2"/>
      <c r="I39" s="2"/>
      <c r="J39" s="22"/>
      <c r="K39" s="2"/>
      <c r="L39" s="2">
        <f t="shared" si="0"/>
        <v>17705.919999999998</v>
      </c>
      <c r="M39" s="2"/>
      <c r="N39" s="22">
        <f t="shared" si="1"/>
        <v>0</v>
      </c>
      <c r="O39" s="11"/>
      <c r="P39" s="2">
        <f>--475874.05</f>
        <v>475874.05</v>
      </c>
      <c r="Q39" s="2"/>
      <c r="R39" s="22"/>
      <c r="S39" s="2"/>
      <c r="T39" s="2"/>
      <c r="U39" s="2"/>
      <c r="V39" s="22"/>
      <c r="W39" s="2"/>
      <c r="X39" s="2">
        <f t="shared" si="2"/>
        <v>475874.05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--3150</f>
        <v>3150</v>
      </c>
      <c r="E40" s="2"/>
      <c r="F40" s="22"/>
      <c r="G40" s="2"/>
      <c r="H40" s="2"/>
      <c r="I40" s="2"/>
      <c r="J40" s="22"/>
      <c r="K40" s="2"/>
      <c r="L40" s="2">
        <f t="shared" si="0"/>
        <v>3150</v>
      </c>
      <c r="M40" s="2"/>
      <c r="N40" s="22">
        <f t="shared" si="1"/>
        <v>0</v>
      </c>
      <c r="O40" s="11"/>
      <c r="P40" s="2">
        <f>--10139.25</f>
        <v>10139.25</v>
      </c>
      <c r="Q40" s="2"/>
      <c r="R40" s="22"/>
      <c r="S40" s="2"/>
      <c r="T40" s="2"/>
      <c r="U40" s="2"/>
      <c r="V40" s="22"/>
      <c r="W40" s="2"/>
      <c r="X40" s="2">
        <f t="shared" si="2"/>
        <v>10139.25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ref="D41:D42" si="5"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--771.73</f>
        <v>771.73</v>
      </c>
      <c r="Q41" s="2"/>
      <c r="R41" s="22"/>
      <c r="S41" s="2"/>
      <c r="T41" s="2"/>
      <c r="U41" s="2"/>
      <c r="V41" s="22"/>
      <c r="W41" s="2"/>
      <c r="X41" s="2">
        <f t="shared" si="2"/>
        <v>771.73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5"/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--52.68</f>
        <v>52.68</v>
      </c>
      <c r="Q42" s="2"/>
      <c r="R42" s="22"/>
      <c r="S42" s="2"/>
      <c r="T42" s="2"/>
      <c r="U42" s="2"/>
      <c r="V42" s="22"/>
      <c r="W42" s="2"/>
      <c r="X42" s="2">
        <f t="shared" si="2"/>
        <v>52.68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--472.19</f>
        <v>472.19</v>
      </c>
      <c r="E43" s="2"/>
      <c r="F43" s="22"/>
      <c r="G43" s="2"/>
      <c r="H43" s="2"/>
      <c r="I43" s="2"/>
      <c r="J43" s="22"/>
      <c r="K43" s="2"/>
      <c r="L43" s="2">
        <f t="shared" si="0"/>
        <v>472.19</v>
      </c>
      <c r="M43" s="2"/>
      <c r="N43" s="22">
        <f t="shared" si="1"/>
        <v>0</v>
      </c>
      <c r="O43" s="11"/>
      <c r="P43" s="2">
        <f>--6217.36</f>
        <v>6217.36</v>
      </c>
      <c r="Q43" s="2"/>
      <c r="R43" s="22"/>
      <c r="S43" s="2"/>
      <c r="T43" s="2"/>
      <c r="U43" s="2"/>
      <c r="V43" s="22"/>
      <c r="W43" s="2"/>
      <c r="X43" s="2">
        <f t="shared" si="2"/>
        <v>6217.36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"4128", " - ", "NON-TAXABLE SALES-ART/TECH")</f>
        <v xml:space="preserve">          4128 - NON-TAXABLE SALES-ART/TECH</v>
      </c>
      <c r="C44" s="11"/>
      <c r="D44" s="2">
        <f>--9.08</f>
        <v>9.08</v>
      </c>
      <c r="E44" s="2"/>
      <c r="F44" s="22"/>
      <c r="G44" s="2"/>
      <c r="H44" s="2"/>
      <c r="I44" s="2"/>
      <c r="J44" s="22"/>
      <c r="K44" s="2"/>
      <c r="L44" s="2">
        <f t="shared" si="0"/>
        <v>9.08</v>
      </c>
      <c r="M44" s="2"/>
      <c r="N44" s="22">
        <f t="shared" si="1"/>
        <v>0</v>
      </c>
      <c r="O44" s="11"/>
      <c r="P44" s="2">
        <f>--38.58</f>
        <v>38.58</v>
      </c>
      <c r="Q44" s="2"/>
      <c r="R44" s="22"/>
      <c r="S44" s="2"/>
      <c r="T44" s="2"/>
      <c r="U44" s="2"/>
      <c r="V44" s="22"/>
      <c r="W44" s="2"/>
      <c r="X44" s="2">
        <f t="shared" si="2"/>
        <v>38.58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"4131", " - ", "NON-TAXABLE SALES-FOOD")</f>
        <v xml:space="preserve">          4131 - NON-TAXABLE SALES-FOOD</v>
      </c>
      <c r="C45" s="11"/>
      <c r="D45" s="2">
        <f>--934.88</f>
        <v>934.88</v>
      </c>
      <c r="E45" s="2"/>
      <c r="F45" s="22"/>
      <c r="G45" s="2"/>
      <c r="H45" s="2"/>
      <c r="I45" s="2"/>
      <c r="J45" s="22"/>
      <c r="K45" s="2"/>
      <c r="L45" s="2">
        <f t="shared" si="0"/>
        <v>934.88</v>
      </c>
      <c r="M45" s="2"/>
      <c r="N45" s="22">
        <f t="shared" si="1"/>
        <v>0</v>
      </c>
      <c r="O45" s="11"/>
      <c r="P45" s="2">
        <f>--9575.15</f>
        <v>9575.15</v>
      </c>
      <c r="Q45" s="2"/>
      <c r="R45" s="22"/>
      <c r="S45" s="2"/>
      <c r="T45" s="2"/>
      <c r="U45" s="2"/>
      <c r="V45" s="22"/>
      <c r="W45" s="2"/>
      <c r="X45" s="2">
        <f t="shared" si="2"/>
        <v>9575.15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6"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--22.49</f>
        <v>22.49</v>
      </c>
      <c r="Q46" s="2"/>
      <c r="R46" s="22"/>
      <c r="S46" s="2"/>
      <c r="T46" s="2"/>
      <c r="U46" s="2"/>
      <c r="V46" s="22"/>
      <c r="W46" s="2"/>
      <c r="X46" s="2">
        <f t="shared" si="2"/>
        <v>22.49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--80.71</f>
        <v>80.709999999999994</v>
      </c>
      <c r="Q47" s="2"/>
      <c r="R47" s="22"/>
      <c r="S47" s="2"/>
      <c r="T47" s="2"/>
      <c r="U47" s="2"/>
      <c r="V47" s="22"/>
      <c r="W47" s="2"/>
      <c r="X47" s="2">
        <f t="shared" si="2"/>
        <v>80.709999999999994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--45.53</f>
        <v>45.53</v>
      </c>
      <c r="Q48" s="2"/>
      <c r="R48" s="22"/>
      <c r="S48" s="2"/>
      <c r="T48" s="2"/>
      <c r="U48" s="2"/>
      <c r="V48" s="22"/>
      <c r="W48" s="2"/>
      <c r="X48" s="2">
        <f t="shared" si="2"/>
        <v>45.53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--68.25</f>
        <v>68.25</v>
      </c>
      <c r="Q49" s="2"/>
      <c r="R49" s="22"/>
      <c r="S49" s="2"/>
      <c r="T49" s="2"/>
      <c r="U49" s="2"/>
      <c r="V49" s="22"/>
      <c r="W49" s="2"/>
      <c r="X49" s="2">
        <f t="shared" si="2"/>
        <v>68.25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--1947.86</f>
        <v>1947.86</v>
      </c>
      <c r="E50" s="2"/>
      <c r="F50" s="22"/>
      <c r="G50" s="2"/>
      <c r="H50" s="2"/>
      <c r="I50" s="2"/>
      <c r="J50" s="22"/>
      <c r="K50" s="2"/>
      <c r="L50" s="2">
        <f t="shared" si="0"/>
        <v>1947.86</v>
      </c>
      <c r="M50" s="2"/>
      <c r="N50" s="22">
        <f t="shared" si="1"/>
        <v>0</v>
      </c>
      <c r="O50" s="11"/>
      <c r="P50" s="2">
        <f>--115125.28</f>
        <v>115125.28</v>
      </c>
      <c r="Q50" s="2"/>
      <c r="R50" s="22"/>
      <c r="S50" s="2"/>
      <c r="T50" s="2"/>
      <c r="U50" s="2"/>
      <c r="V50" s="22"/>
      <c r="W50" s="2"/>
      <c r="X50" s="2">
        <f t="shared" si="2"/>
        <v>115125.28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--671.25</f>
        <v>671.25</v>
      </c>
      <c r="E51" s="2"/>
      <c r="F51" s="22"/>
      <c r="G51" s="2"/>
      <c r="H51" s="2"/>
      <c r="I51" s="2"/>
      <c r="J51" s="22"/>
      <c r="K51" s="2"/>
      <c r="L51" s="2">
        <f t="shared" si="0"/>
        <v>671.25</v>
      </c>
      <c r="M51" s="2"/>
      <c r="N51" s="22">
        <f t="shared" si="1"/>
        <v>0</v>
      </c>
      <c r="O51" s="11"/>
      <c r="P51" s="2">
        <f>--8513.02</f>
        <v>8513.02</v>
      </c>
      <c r="Q51" s="2"/>
      <c r="R51" s="22"/>
      <c r="S51" s="2"/>
      <c r="T51" s="2"/>
      <c r="U51" s="2"/>
      <c r="V51" s="22"/>
      <c r="W51" s="2"/>
      <c r="X51" s="2">
        <f t="shared" si="2"/>
        <v>8513.02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--4.58</f>
        <v>4.58</v>
      </c>
      <c r="E52" s="2"/>
      <c r="F52" s="22"/>
      <c r="G52" s="2"/>
      <c r="H52" s="2"/>
      <c r="I52" s="2"/>
      <c r="J52" s="22"/>
      <c r="K52" s="2"/>
      <c r="L52" s="2">
        <f t="shared" si="0"/>
        <v>4.58</v>
      </c>
      <c r="M52" s="2"/>
      <c r="N52" s="22">
        <f t="shared" si="1"/>
        <v>0</v>
      </c>
      <c r="O52" s="11"/>
      <c r="P52" s="2">
        <f>--2264.47</f>
        <v>2264.4699999999998</v>
      </c>
      <c r="Q52" s="2"/>
      <c r="R52" s="22"/>
      <c r="S52" s="2"/>
      <c r="T52" s="2"/>
      <c r="U52" s="2"/>
      <c r="V52" s="22"/>
      <c r="W52" s="2"/>
      <c r="X52" s="2">
        <f t="shared" si="2"/>
        <v>2264.4699999999998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"4143", " - ", "NON-TAXABLE SALES-CARDS")</f>
        <v xml:space="preserve">          4143 - NON-TAXABLE SALES-CARDS</v>
      </c>
      <c r="C53" s="11"/>
      <c r="D53" s="2">
        <f>--149.92</f>
        <v>149.91999999999999</v>
      </c>
      <c r="E53" s="2"/>
      <c r="F53" s="22"/>
      <c r="G53" s="2"/>
      <c r="H53" s="2"/>
      <c r="I53" s="2"/>
      <c r="J53" s="22"/>
      <c r="K53" s="2"/>
      <c r="L53" s="2">
        <f t="shared" si="0"/>
        <v>149.91999999999999</v>
      </c>
      <c r="M53" s="2"/>
      <c r="N53" s="22">
        <f t="shared" si="1"/>
        <v>0</v>
      </c>
      <c r="O53" s="11"/>
      <c r="P53" s="2">
        <f>--2119.66</f>
        <v>2119.66</v>
      </c>
      <c r="Q53" s="2"/>
      <c r="R53" s="22"/>
      <c r="S53" s="2"/>
      <c r="T53" s="2"/>
      <c r="U53" s="2"/>
      <c r="V53" s="22"/>
      <c r="W53" s="2"/>
      <c r="X53" s="2">
        <f t="shared" si="2"/>
        <v>2119.66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--39.95</f>
        <v>39.950000000000003</v>
      </c>
      <c r="E54" s="2"/>
      <c r="F54" s="22"/>
      <c r="G54" s="2"/>
      <c r="H54" s="2"/>
      <c r="I54" s="2"/>
      <c r="J54" s="22"/>
      <c r="K54" s="2"/>
      <c r="L54" s="2">
        <f t="shared" si="0"/>
        <v>39.950000000000003</v>
      </c>
      <c r="M54" s="2"/>
      <c r="N54" s="22">
        <f t="shared" si="1"/>
        <v>0</v>
      </c>
      <c r="O54" s="11"/>
      <c r="P54" s="2">
        <f>--649.35</f>
        <v>649.35</v>
      </c>
      <c r="Q54" s="2"/>
      <c r="R54" s="22"/>
      <c r="S54" s="2"/>
      <c r="T54" s="2"/>
      <c r="U54" s="2"/>
      <c r="V54" s="22"/>
      <c r="W54" s="2"/>
      <c r="X54" s="2">
        <f t="shared" si="2"/>
        <v>649.35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0</f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--53716.09</f>
        <v>53716.09</v>
      </c>
      <c r="Q55" s="2"/>
      <c r="R55" s="22"/>
      <c r="S55" s="2"/>
      <c r="T55" s="2"/>
      <c r="U55" s="2"/>
      <c r="V55" s="22"/>
      <c r="W55" s="2"/>
      <c r="X55" s="2">
        <f t="shared" si="2"/>
        <v>53716.09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--67.8</f>
        <v>67.8</v>
      </c>
      <c r="E56" s="2"/>
      <c r="F56" s="22"/>
      <c r="G56" s="2"/>
      <c r="H56" s="2"/>
      <c r="I56" s="2"/>
      <c r="J56" s="22"/>
      <c r="K56" s="2"/>
      <c r="L56" s="2">
        <f t="shared" si="0"/>
        <v>67.8</v>
      </c>
      <c r="M56" s="2"/>
      <c r="N56" s="22">
        <f t="shared" si="1"/>
        <v>0</v>
      </c>
      <c r="O56" s="11"/>
      <c r="P56" s="2">
        <f>--208.4</f>
        <v>208.4</v>
      </c>
      <c r="Q56" s="2"/>
      <c r="R56" s="22"/>
      <c r="S56" s="2"/>
      <c r="T56" s="2"/>
      <c r="U56" s="2"/>
      <c r="V56" s="22"/>
      <c r="W56" s="2"/>
      <c r="X56" s="2">
        <f t="shared" si="2"/>
        <v>208.4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"4147", " - ", "NON-TAXABLE SALES-MISC")</f>
        <v xml:space="preserve">          4147 - NON-TAXABLE SALES-MISC</v>
      </c>
      <c r="C57" s="11"/>
      <c r="D57" s="2">
        <f>--17</f>
        <v>17</v>
      </c>
      <c r="E57" s="2"/>
      <c r="F57" s="22"/>
      <c r="G57" s="2"/>
      <c r="H57" s="2"/>
      <c r="I57" s="2"/>
      <c r="J57" s="22"/>
      <c r="K57" s="2"/>
      <c r="L57" s="2">
        <f t="shared" si="0"/>
        <v>17</v>
      </c>
      <c r="M57" s="2"/>
      <c r="N57" s="22">
        <f t="shared" si="1"/>
        <v>0</v>
      </c>
      <c r="O57" s="11"/>
      <c r="P57" s="2">
        <f>--132.5</f>
        <v>132.5</v>
      </c>
      <c r="Q57" s="2"/>
      <c r="R57" s="22"/>
      <c r="S57" s="2"/>
      <c r="T57" s="2"/>
      <c r="U57" s="2"/>
      <c r="V57" s="22"/>
      <c r="W57" s="2"/>
      <c r="X57" s="2">
        <f t="shared" si="2"/>
        <v>132.5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>-2146.49</f>
        <v>-2146.4899999999998</v>
      </c>
      <c r="E58" s="2"/>
      <c r="F58" s="22"/>
      <c r="G58" s="2"/>
      <c r="H58" s="2"/>
      <c r="I58" s="2"/>
      <c r="J58" s="22"/>
      <c r="K58" s="2"/>
      <c r="L58" s="2">
        <f t="shared" si="0"/>
        <v>-2146.4899999999998</v>
      </c>
      <c r="M58" s="2"/>
      <c r="N58" s="22">
        <f t="shared" si="1"/>
        <v>0</v>
      </c>
      <c r="O58" s="11"/>
      <c r="P58" s="2">
        <f>-50664.23</f>
        <v>-50664.23</v>
      </c>
      <c r="Q58" s="2"/>
      <c r="R58" s="22"/>
      <c r="S58" s="2"/>
      <c r="T58" s="2"/>
      <c r="U58" s="2"/>
      <c r="V58" s="22"/>
      <c r="W58" s="2"/>
      <c r="X58" s="2">
        <f t="shared" si="2"/>
        <v>-50664.23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>-1199.21</f>
        <v>-1199.21</v>
      </c>
      <c r="E59" s="2"/>
      <c r="F59" s="22"/>
      <c r="G59" s="2"/>
      <c r="H59" s="2"/>
      <c r="I59" s="2"/>
      <c r="J59" s="22"/>
      <c r="K59" s="2"/>
      <c r="L59" s="2">
        <f t="shared" si="0"/>
        <v>-1199.21</v>
      </c>
      <c r="M59" s="2"/>
      <c r="N59" s="22">
        <f t="shared" si="1"/>
        <v>0</v>
      </c>
      <c r="O59" s="11"/>
      <c r="P59" s="2">
        <f>-19735.51</f>
        <v>-19735.509999999998</v>
      </c>
      <c r="Q59" s="2"/>
      <c r="R59" s="22"/>
      <c r="S59" s="2"/>
      <c r="T59" s="2"/>
      <c r="U59" s="2"/>
      <c r="V59" s="22"/>
      <c r="W59" s="2"/>
      <c r="X59" s="2">
        <f t="shared" si="2"/>
        <v>-19735.509999999998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>-132.25</f>
        <v>-132.25</v>
      </c>
      <c r="E60" s="2"/>
      <c r="F60" s="22"/>
      <c r="G60" s="2"/>
      <c r="H60" s="2"/>
      <c r="I60" s="2"/>
      <c r="J60" s="22"/>
      <c r="K60" s="2"/>
      <c r="L60" s="2">
        <f t="shared" si="0"/>
        <v>-132.25</v>
      </c>
      <c r="M60" s="2"/>
      <c r="N60" s="22">
        <f t="shared" si="1"/>
        <v>0</v>
      </c>
      <c r="O60" s="11"/>
      <c r="P60" s="2">
        <f>-1763.1</f>
        <v>-1763.1</v>
      </c>
      <c r="Q60" s="2"/>
      <c r="R60" s="22"/>
      <c r="S60" s="2"/>
      <c r="T60" s="2"/>
      <c r="U60" s="2"/>
      <c r="V60" s="22"/>
      <c r="W60" s="2"/>
      <c r="X60" s="2">
        <f t="shared" si="2"/>
        <v>-1763.1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"4213", " - ", "NON-TAXABLE SALES-TRADE BOOKS")</f>
        <v xml:space="preserve">          4213 - NON-TAXABLE SALES-TRADE BOOKS</v>
      </c>
      <c r="C61" s="11"/>
      <c r="D61" s="2">
        <f>-69.93</f>
        <v>-69.930000000000007</v>
      </c>
      <c r="E61" s="2"/>
      <c r="F61" s="22"/>
      <c r="G61" s="2"/>
      <c r="H61" s="2"/>
      <c r="I61" s="2"/>
      <c r="J61" s="22"/>
      <c r="K61" s="2"/>
      <c r="L61" s="2">
        <f t="shared" si="0"/>
        <v>-69.930000000000007</v>
      </c>
      <c r="M61" s="2"/>
      <c r="N61" s="22">
        <f t="shared" si="1"/>
        <v>0</v>
      </c>
      <c r="O61" s="11"/>
      <c r="P61" s="2">
        <f>-69.93</f>
        <v>-69.930000000000007</v>
      </c>
      <c r="Q61" s="2"/>
      <c r="R61" s="22"/>
      <c r="S61" s="2"/>
      <c r="T61" s="2"/>
      <c r="U61" s="2"/>
      <c r="V61" s="22"/>
      <c r="W61" s="2"/>
      <c r="X61" s="2">
        <f t="shared" si="2"/>
        <v>-69.930000000000007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"4226", " - ", "SALES RETURN TAXABLE-WRITING I")</f>
        <v xml:space="preserve">          4226 - SALES RETURN TAXABLE-WRITING I</v>
      </c>
      <c r="C62" s="11"/>
      <c r="D62" s="2">
        <f>0</f>
        <v>0</v>
      </c>
      <c r="E62" s="2"/>
      <c r="F62" s="22"/>
      <c r="G62" s="2"/>
      <c r="H62" s="2"/>
      <c r="I62" s="2"/>
      <c r="J62" s="22"/>
      <c r="K62" s="2"/>
      <c r="L62" s="2">
        <f t="shared" si="0"/>
        <v>0</v>
      </c>
      <c r="M62" s="2"/>
      <c r="N62" s="22">
        <f t="shared" si="1"/>
        <v>0</v>
      </c>
      <c r="O62" s="11"/>
      <c r="P62" s="2">
        <f>-34.23</f>
        <v>-34.229999999999997</v>
      </c>
      <c r="Q62" s="2"/>
      <c r="R62" s="22"/>
      <c r="S62" s="2"/>
      <c r="T62" s="2"/>
      <c r="U62" s="2"/>
      <c r="V62" s="22"/>
      <c r="W62" s="2"/>
      <c r="X62" s="2">
        <f t="shared" si="2"/>
        <v>-34.229999999999997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"4227", " - ", "SALES RETURN TAXABLE-SCHOOL SU")</f>
        <v xml:space="preserve">          4227 - SALES RETURN TAXABLE-SCHOOL SU</v>
      </c>
      <c r="C63" s="11"/>
      <c r="D63" s="2">
        <f>-19.05</f>
        <v>-19.05</v>
      </c>
      <c r="E63" s="2"/>
      <c r="F63" s="22"/>
      <c r="G63" s="2"/>
      <c r="H63" s="2"/>
      <c r="I63" s="2"/>
      <c r="J63" s="22"/>
      <c r="K63" s="2"/>
      <c r="L63" s="2">
        <f t="shared" si="0"/>
        <v>-19.05</v>
      </c>
      <c r="M63" s="2"/>
      <c r="N63" s="22">
        <f t="shared" si="1"/>
        <v>0</v>
      </c>
      <c r="O63" s="11"/>
      <c r="P63" s="2">
        <f>-781.73</f>
        <v>-781.73</v>
      </c>
      <c r="Q63" s="2"/>
      <c r="R63" s="22"/>
      <c r="S63" s="2"/>
      <c r="T63" s="2"/>
      <c r="U63" s="2"/>
      <c r="V63" s="22"/>
      <c r="W63" s="2"/>
      <c r="X63" s="2">
        <f t="shared" si="2"/>
        <v>-781.73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"4228", " - ", "SALES RETURN TAXABLE-ART/TECH")</f>
        <v xml:space="preserve">          4228 - SALES RETURN TAXABLE-ART/TECH</v>
      </c>
      <c r="C64" s="11"/>
      <c r="D64" s="2">
        <f>-10.71</f>
        <v>-10.71</v>
      </c>
      <c r="E64" s="2"/>
      <c r="F64" s="22"/>
      <c r="G64" s="2"/>
      <c r="H64" s="2"/>
      <c r="I64" s="2"/>
      <c r="J64" s="22"/>
      <c r="K64" s="2"/>
      <c r="L64" s="2">
        <f t="shared" si="0"/>
        <v>-10.71</v>
      </c>
      <c r="M64" s="2"/>
      <c r="N64" s="22">
        <f t="shared" si="1"/>
        <v>0</v>
      </c>
      <c r="O64" s="11"/>
      <c r="P64" s="2">
        <f>-12739.24</f>
        <v>-12739.24</v>
      </c>
      <c r="Q64" s="2"/>
      <c r="R64" s="22"/>
      <c r="S64" s="2"/>
      <c r="T64" s="2"/>
      <c r="U64" s="2"/>
      <c r="V64" s="22"/>
      <c r="W64" s="2"/>
      <c r="X64" s="2">
        <f t="shared" si="2"/>
        <v>-12739.24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"4240", " - ", "SALES RETURN TAXABLE-LOGO CLOT")</f>
        <v xml:space="preserve">          4240 - SALES RETURN TAXABLE-LOGO CLOT</v>
      </c>
      <c r="C65" s="11"/>
      <c r="D65" s="2">
        <f>-3542.64</f>
        <v>-3542.64</v>
      </c>
      <c r="E65" s="2"/>
      <c r="F65" s="22"/>
      <c r="G65" s="2"/>
      <c r="H65" s="2"/>
      <c r="I65" s="2"/>
      <c r="J65" s="22"/>
      <c r="K65" s="2"/>
      <c r="L65" s="2">
        <f t="shared" si="0"/>
        <v>-3542.64</v>
      </c>
      <c r="M65" s="2"/>
      <c r="N65" s="22">
        <f t="shared" si="1"/>
        <v>0</v>
      </c>
      <c r="O65" s="11"/>
      <c r="P65" s="2">
        <f>-31129.51</f>
        <v>-31129.51</v>
      </c>
      <c r="Q65" s="2"/>
      <c r="R65" s="22"/>
      <c r="S65" s="2"/>
      <c r="T65" s="2"/>
      <c r="U65" s="2"/>
      <c r="V65" s="22"/>
      <c r="W65" s="2"/>
      <c r="X65" s="2">
        <f t="shared" si="2"/>
        <v>-31129.51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"4241", " - ", "SALES RETURN TAXABLE-LOGO GIFT")</f>
        <v xml:space="preserve">          4241 - SALES RETURN TAXABLE-LOGO GIFT</v>
      </c>
      <c r="C66" s="11"/>
      <c r="D66" s="2">
        <f>-338.05</f>
        <v>-338.05</v>
      </c>
      <c r="E66" s="2"/>
      <c r="F66" s="22"/>
      <c r="G66" s="2"/>
      <c r="H66" s="2"/>
      <c r="I66" s="2"/>
      <c r="J66" s="22"/>
      <c r="K66" s="2"/>
      <c r="L66" s="2">
        <f t="shared" si="0"/>
        <v>-338.05</v>
      </c>
      <c r="M66" s="2"/>
      <c r="N66" s="22">
        <f t="shared" si="1"/>
        <v>0</v>
      </c>
      <c r="O66" s="11"/>
      <c r="P66" s="2">
        <f>-5295.52</f>
        <v>-5295.52</v>
      </c>
      <c r="Q66" s="2"/>
      <c r="R66" s="22"/>
      <c r="S66" s="2"/>
      <c r="T66" s="2"/>
      <c r="U66" s="2"/>
      <c r="V66" s="22"/>
      <c r="W66" s="2"/>
      <c r="X66" s="2">
        <f t="shared" si="2"/>
        <v>-5295.52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"4242", " - ", "SALES RETURN TAXABLE-EVERYDAY")</f>
        <v xml:space="preserve">          4242 - SALES RETURN TAXABLE-EVERYDAY</v>
      </c>
      <c r="C67" s="11"/>
      <c r="D67" s="2">
        <f>-44.96</f>
        <v>-44.96</v>
      </c>
      <c r="E67" s="2"/>
      <c r="F67" s="22"/>
      <c r="G67" s="2"/>
      <c r="H67" s="2"/>
      <c r="I67" s="2"/>
      <c r="J67" s="22"/>
      <c r="K67" s="2"/>
      <c r="L67" s="2">
        <f t="shared" si="0"/>
        <v>-44.96</v>
      </c>
      <c r="M67" s="2"/>
      <c r="N67" s="22">
        <f t="shared" si="1"/>
        <v>0</v>
      </c>
      <c r="O67" s="11"/>
      <c r="P67" s="2">
        <f>-1738.74</f>
        <v>-1738.74</v>
      </c>
      <c r="Q67" s="2"/>
      <c r="R67" s="22"/>
      <c r="S67" s="2"/>
      <c r="T67" s="2"/>
      <c r="U67" s="2"/>
      <c r="V67" s="22"/>
      <c r="W67" s="2"/>
      <c r="X67" s="2">
        <f t="shared" si="2"/>
        <v>-1738.74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"4243", " - ", "SALES RETURN TAXABLE-CARDS")</f>
        <v xml:space="preserve">          4243 - SALES RETURN TAXABLE-CARDS</v>
      </c>
      <c r="C68" s="11"/>
      <c r="D68" s="2">
        <f>-369.81</f>
        <v>-369.81</v>
      </c>
      <c r="E68" s="2"/>
      <c r="F68" s="22"/>
      <c r="G68" s="2"/>
      <c r="H68" s="2"/>
      <c r="I68" s="2"/>
      <c r="J68" s="22"/>
      <c r="K68" s="2"/>
      <c r="L68" s="2">
        <f t="shared" si="0"/>
        <v>-369.81</v>
      </c>
      <c r="M68" s="2"/>
      <c r="N68" s="22">
        <f t="shared" si="1"/>
        <v>0</v>
      </c>
      <c r="O68" s="11"/>
      <c r="P68" s="2">
        <f>-5369.6</f>
        <v>-5369.6</v>
      </c>
      <c r="Q68" s="2"/>
      <c r="R68" s="22"/>
      <c r="S68" s="2"/>
      <c r="T68" s="2"/>
      <c r="U68" s="2"/>
      <c r="V68" s="22"/>
      <c r="W68" s="2"/>
      <c r="X68" s="2">
        <f t="shared" si="2"/>
        <v>-5369.6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"4244", " - ", "SALES RETURN TAXABLE-ACCESSORI")</f>
        <v xml:space="preserve">          4244 - SALES RETURN TAXABLE-ACCESSORI</v>
      </c>
      <c r="C69" s="11"/>
      <c r="D69" s="2">
        <f>-9.99</f>
        <v>-9.99</v>
      </c>
      <c r="E69" s="2"/>
      <c r="F69" s="22"/>
      <c r="G69" s="2"/>
      <c r="H69" s="2"/>
      <c r="I69" s="2"/>
      <c r="J69" s="22"/>
      <c r="K69" s="2"/>
      <c r="L69" s="2">
        <f t="shared" si="0"/>
        <v>-9.99</v>
      </c>
      <c r="M69" s="2"/>
      <c r="N69" s="22">
        <f t="shared" si="1"/>
        <v>0</v>
      </c>
      <c r="O69" s="11"/>
      <c r="P69" s="2">
        <f>-994.84</f>
        <v>-994.84</v>
      </c>
      <c r="Q69" s="2"/>
      <c r="R69" s="22"/>
      <c r="S69" s="2"/>
      <c r="T69" s="2"/>
      <c r="U69" s="2"/>
      <c r="V69" s="22"/>
      <c r="W69" s="2"/>
      <c r="X69" s="2">
        <f t="shared" si="2"/>
        <v>-994.84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"4245", " - ", "SALES RETURN TAXABLE-SPECIAL O")</f>
        <v xml:space="preserve">          4245 - SALES RETURN TAXABLE-SPECIAL O</v>
      </c>
      <c r="C70" s="11"/>
      <c r="D70" s="2">
        <f>-7.98</f>
        <v>-7.98</v>
      </c>
      <c r="E70" s="2"/>
      <c r="F70" s="22"/>
      <c r="G70" s="2"/>
      <c r="H70" s="2"/>
      <c r="I70" s="2"/>
      <c r="J70" s="22"/>
      <c r="K70" s="2"/>
      <c r="L70" s="2">
        <f t="shared" si="0"/>
        <v>-7.98</v>
      </c>
      <c r="M70" s="2"/>
      <c r="N70" s="22">
        <f t="shared" si="1"/>
        <v>0</v>
      </c>
      <c r="O70" s="11"/>
      <c r="P70" s="2">
        <f>-11353.59</f>
        <v>-11353.59</v>
      </c>
      <c r="Q70" s="2"/>
      <c r="R70" s="22"/>
      <c r="S70" s="2"/>
      <c r="T70" s="2"/>
      <c r="U70" s="2"/>
      <c r="V70" s="22"/>
      <c r="W70" s="2"/>
      <c r="X70" s="2">
        <f t="shared" si="2"/>
        <v>-11353.59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>-231.5</f>
        <v>-231.5</v>
      </c>
      <c r="E71" s="2"/>
      <c r="F71" s="22"/>
      <c r="G71" s="2"/>
      <c r="H71" s="2"/>
      <c r="I71" s="2"/>
      <c r="J71" s="22"/>
      <c r="K71" s="2"/>
      <c r="L71" s="2">
        <f t="shared" si="0"/>
        <v>-231.5</v>
      </c>
      <c r="M71" s="2"/>
      <c r="N71" s="22">
        <f t="shared" si="1"/>
        <v>0</v>
      </c>
      <c r="O71" s="11"/>
      <c r="P71" s="2">
        <f>-3237.29</f>
        <v>-3237.29</v>
      </c>
      <c r="Q71" s="2"/>
      <c r="R71" s="22"/>
      <c r="S71" s="2"/>
      <c r="T71" s="2"/>
      <c r="U71" s="2"/>
      <c r="V71" s="22"/>
      <c r="W71" s="2"/>
      <c r="X71" s="2">
        <f t="shared" si="2"/>
        <v>-3237.29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>-70.32</f>
        <v>-70.319999999999993</v>
      </c>
      <c r="E72" s="2"/>
      <c r="F72" s="22"/>
      <c r="G72" s="2"/>
      <c r="H72" s="2"/>
      <c r="I72" s="2"/>
      <c r="J72" s="22"/>
      <c r="K72" s="2"/>
      <c r="L72" s="2">
        <f t="shared" si="0"/>
        <v>-70.319999999999993</v>
      </c>
      <c r="M72" s="2"/>
      <c r="N72" s="22">
        <f t="shared" si="1"/>
        <v>0</v>
      </c>
      <c r="O72" s="11"/>
      <c r="P72" s="2">
        <f>-2073.48</f>
        <v>-2073.48</v>
      </c>
      <c r="Q72" s="2"/>
      <c r="R72" s="22"/>
      <c r="S72" s="2"/>
      <c r="T72" s="2"/>
      <c r="U72" s="2"/>
      <c r="V72" s="22"/>
      <c r="W72" s="2"/>
      <c r="X72" s="2">
        <f t="shared" si="2"/>
        <v>-2073.48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>-2172.95</f>
        <v>-2172.9499999999998</v>
      </c>
      <c r="E73" s="2"/>
      <c r="F73" s="22"/>
      <c r="G73" s="2"/>
      <c r="H73" s="2"/>
      <c r="I73" s="2"/>
      <c r="J73" s="22"/>
      <c r="K73" s="2"/>
      <c r="L73" s="2">
        <f t="shared" si="0"/>
        <v>-2172.9499999999998</v>
      </c>
      <c r="M73" s="2"/>
      <c r="N73" s="22">
        <f t="shared" si="1"/>
        <v>0</v>
      </c>
      <c r="O73" s="11"/>
      <c r="P73" s="2">
        <f>-27268.72</f>
        <v>-27268.720000000001</v>
      </c>
      <c r="Q73" s="2"/>
      <c r="R73" s="22"/>
      <c r="S73" s="2"/>
      <c r="T73" s="2"/>
      <c r="U73" s="2"/>
      <c r="V73" s="22"/>
      <c r="W73" s="2"/>
      <c r="X73" s="2">
        <f t="shared" si="2"/>
        <v>-27268.720000000001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>-76.9</f>
        <v>-76.900000000000006</v>
      </c>
      <c r="E74" s="2"/>
      <c r="F74" s="22"/>
      <c r="G74" s="2"/>
      <c r="H74" s="2"/>
      <c r="I74" s="2"/>
      <c r="J74" s="22"/>
      <c r="K74" s="2"/>
      <c r="L74" s="2">
        <f t="shared" si="0"/>
        <v>-76.900000000000006</v>
      </c>
      <c r="M74" s="2"/>
      <c r="N74" s="22">
        <f t="shared" si="1"/>
        <v>0</v>
      </c>
      <c r="O74" s="11"/>
      <c r="P74" s="2">
        <f>-2292.84</f>
        <v>-2292.84</v>
      </c>
      <c r="Q74" s="2"/>
      <c r="R74" s="22"/>
      <c r="S74" s="2"/>
      <c r="T74" s="2"/>
      <c r="U74" s="2"/>
      <c r="V74" s="22"/>
      <c r="W74" s="2"/>
      <c r="X74" s="2">
        <f t="shared" si="2"/>
        <v>-2292.84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 t="shared" ref="D75:D76" si="7">0</f>
        <v>0</v>
      </c>
      <c r="E75" s="2"/>
      <c r="F75" s="22"/>
      <c r="G75" s="2"/>
      <c r="H75" s="2"/>
      <c r="I75" s="2"/>
      <c r="J75" s="22"/>
      <c r="K75" s="2"/>
      <c r="L75" s="2">
        <f t="shared" si="0"/>
        <v>0</v>
      </c>
      <c r="M75" s="2"/>
      <c r="N75" s="22">
        <f t="shared" si="1"/>
        <v>0</v>
      </c>
      <c r="O75" s="11"/>
      <c r="P75" s="2">
        <f>-362.64</f>
        <v>-362.64</v>
      </c>
      <c r="Q75" s="2"/>
      <c r="R75" s="22"/>
      <c r="S75" s="2"/>
      <c r="T75" s="2"/>
      <c r="U75" s="2"/>
      <c r="V75" s="22"/>
      <c r="W75" s="2"/>
      <c r="X75" s="2">
        <f t="shared" si="2"/>
        <v>-362.64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 t="shared" si="7"/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-118.7</f>
        <v>-118.7</v>
      </c>
      <c r="Q76" s="2"/>
      <c r="R76" s="22"/>
      <c r="S76" s="2"/>
      <c r="T76" s="2"/>
      <c r="U76" s="2"/>
      <c r="V76" s="22"/>
      <c r="W76" s="2"/>
      <c r="X76" s="2">
        <f t="shared" si="2"/>
        <v>-118.7</v>
      </c>
      <c r="Y76" s="2"/>
      <c r="Z76" s="22">
        <f t="shared" si="3"/>
        <v>0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collapsed="1" x14ac:dyDescent="0.25">
      <c r="A78" s="10"/>
      <c r="B78" s="26" t="s">
        <v>8</v>
      </c>
      <c r="C78" s="10"/>
      <c r="D78" s="4">
        <f>SUM(OSRRefD16x_0)</f>
        <v>116310.13999999997</v>
      </c>
      <c r="E78" s="4"/>
      <c r="F78" s="12">
        <f t="shared" ref="F78:F113" si="8">IF(D$12=0,0,D78/D$12)</f>
        <v>0.57340787807542026</v>
      </c>
      <c r="G78" s="4"/>
      <c r="H78" s="4">
        <f>SUM(OSRRefH16x_0)</f>
        <v>333606</v>
      </c>
      <c r="I78" s="4"/>
      <c r="J78" s="12">
        <f t="shared" ref="J78:J113" si="9">IF(H$12=0,0,H78/H$12)</f>
        <v>0.50172351561090056</v>
      </c>
      <c r="K78" s="4"/>
      <c r="L78" s="4">
        <f t="shared" ref="L78:L113" si="10">+D78-H78</f>
        <v>-217295.86000000004</v>
      </c>
      <c r="M78" s="4"/>
      <c r="N78" s="12">
        <f t="shared" ref="N78:N113" si="11">IF(H78=0,0,L78/H78)</f>
        <v>-0.65135477179667045</v>
      </c>
      <c r="O78" s="10"/>
      <c r="P78" s="4">
        <f>SUM(OSRRefP16x_0)</f>
        <v>2622526.9100000006</v>
      </c>
      <c r="Q78" s="4"/>
      <c r="R78" s="12">
        <f t="shared" ref="R78:R113" si="12">IF(P$12=0,0,P78/P$12)</f>
        <v>0.6427323243476416</v>
      </c>
      <c r="S78" s="4"/>
      <c r="T78" s="4">
        <f>SUM(OSRRefT16x_0)</f>
        <v>4396703</v>
      </c>
      <c r="U78" s="4"/>
      <c r="V78" s="12">
        <f t="shared" ref="V78:V113" si="13">IF(T$12=0,0,T78/T$12)</f>
        <v>0.60172946293557339</v>
      </c>
      <c r="W78" s="4"/>
      <c r="X78" s="4">
        <f t="shared" ref="X78:X113" si="14">+P78-T78</f>
        <v>-1774176.0899999994</v>
      </c>
      <c r="Y78" s="4"/>
      <c r="Z78" s="12">
        <f t="shared" ref="Z78:Z113" si="15">IF(T78=0,0,X78/T78)</f>
        <v>-0.40352420666121852</v>
      </c>
    </row>
    <row r="79" spans="1:26" s="24" customFormat="1" hidden="1" outlineLevel="1" x14ac:dyDescent="0.25">
      <c r="A79" s="51"/>
      <c r="B79" s="11" t="str">
        <f>CONCATENATE("          ", "5000", " - ", "PURCHASES @ COST")</f>
        <v xml:space="preserve">          5000 - PURCHASES @ COST</v>
      </c>
      <c r="C79" s="11"/>
      <c r="D79" s="2"/>
      <c r="E79" s="2"/>
      <c r="F79" s="22">
        <f t="shared" si="8"/>
        <v>0</v>
      </c>
      <c r="G79" s="2"/>
      <c r="H79" s="2">
        <v>333606</v>
      </c>
      <c r="I79" s="2"/>
      <c r="J79" s="22">
        <f t="shared" si="9"/>
        <v>0.50172351561090056</v>
      </c>
      <c r="K79" s="2"/>
      <c r="L79" s="2">
        <f t="shared" si="10"/>
        <v>-333606</v>
      </c>
      <c r="M79" s="2"/>
      <c r="N79" s="22">
        <f t="shared" si="11"/>
        <v>-1</v>
      </c>
      <c r="O79" s="11"/>
      <c r="P79" s="2"/>
      <c r="Q79" s="2"/>
      <c r="R79" s="22">
        <f t="shared" si="12"/>
        <v>0</v>
      </c>
      <c r="S79" s="2"/>
      <c r="T79" s="2">
        <v>4396703</v>
      </c>
      <c r="U79" s="2"/>
      <c r="V79" s="22">
        <f t="shared" si="13"/>
        <v>0.60172946293557339</v>
      </c>
      <c r="W79" s="2"/>
      <c r="X79" s="2">
        <f t="shared" si="14"/>
        <v>-4396703</v>
      </c>
      <c r="Y79" s="2"/>
      <c r="Z79" s="22">
        <f t="shared" si="15"/>
        <v>-1</v>
      </c>
    </row>
    <row r="80" spans="1:26" s="24" customFormat="1" hidden="1" outlineLevel="1" x14ac:dyDescent="0.25">
      <c r="A80" s="51"/>
      <c r="B80" s="11" t="str">
        <f>CONCATENATE("          ", "5001", " - ", "PURCHASES @ COST-NEW TEXT")</f>
        <v xml:space="preserve">          5001 - PURCHASES @ COST-NEW TEXT</v>
      </c>
      <c r="C80" s="11"/>
      <c r="D80" s="2">
        <v>-332593.57</v>
      </c>
      <c r="E80" s="2"/>
      <c r="F80" s="22">
        <f t="shared" si="8"/>
        <v>-1.6396831199345887</v>
      </c>
      <c r="G80" s="2"/>
      <c r="H80" s="2"/>
      <c r="I80" s="2"/>
      <c r="J80" s="22">
        <f t="shared" si="9"/>
        <v>0</v>
      </c>
      <c r="K80" s="2"/>
      <c r="L80" s="2">
        <f t="shared" si="10"/>
        <v>-332593.57</v>
      </c>
      <c r="M80" s="2"/>
      <c r="N80" s="22">
        <f t="shared" si="11"/>
        <v>0</v>
      </c>
      <c r="O80" s="11"/>
      <c r="P80" s="2">
        <v>1326415.6399999999</v>
      </c>
      <c r="Q80" s="2"/>
      <c r="R80" s="22">
        <f t="shared" si="12"/>
        <v>0.32507967948678335</v>
      </c>
      <c r="S80" s="2"/>
      <c r="T80" s="2"/>
      <c r="U80" s="2"/>
      <c r="V80" s="22">
        <f t="shared" si="13"/>
        <v>0</v>
      </c>
      <c r="W80" s="2"/>
      <c r="X80" s="2">
        <f t="shared" si="14"/>
        <v>1326415.6399999999</v>
      </c>
      <c r="Y80" s="2"/>
      <c r="Z80" s="22">
        <f t="shared" si="15"/>
        <v>0</v>
      </c>
    </row>
    <row r="81" spans="1:26" s="24" customFormat="1" hidden="1" outlineLevel="1" x14ac:dyDescent="0.25">
      <c r="A81" s="51"/>
      <c r="B81" s="11" t="str">
        <f>CONCATENATE("          ", "5002", " - ", "PURCHASES @ COST-USED TEXT")</f>
        <v xml:space="preserve">          5002 - PURCHASES @ COST-USED TEXT</v>
      </c>
      <c r="C81" s="11"/>
      <c r="D81" s="2">
        <v>121987.94000000002</v>
      </c>
      <c r="E81" s="2"/>
      <c r="F81" s="22">
        <f t="shared" si="8"/>
        <v>0.6013993777859068</v>
      </c>
      <c r="G81" s="2"/>
      <c r="H81" s="2"/>
      <c r="I81" s="2"/>
      <c r="J81" s="22">
        <f t="shared" si="9"/>
        <v>0</v>
      </c>
      <c r="K81" s="2"/>
      <c r="L81" s="2">
        <f t="shared" si="10"/>
        <v>121987.94000000002</v>
      </c>
      <c r="M81" s="2"/>
      <c r="N81" s="22">
        <f t="shared" si="11"/>
        <v>0</v>
      </c>
      <c r="O81" s="11"/>
      <c r="P81" s="2">
        <v>382324.22000000003</v>
      </c>
      <c r="Q81" s="2"/>
      <c r="R81" s="22">
        <f t="shared" si="12"/>
        <v>9.3700519768927376E-2</v>
      </c>
      <c r="S81" s="2"/>
      <c r="T81" s="2"/>
      <c r="U81" s="2"/>
      <c r="V81" s="22">
        <f t="shared" si="13"/>
        <v>0</v>
      </c>
      <c r="W81" s="2"/>
      <c r="X81" s="2">
        <f t="shared" si="14"/>
        <v>382324.22000000003</v>
      </c>
      <c r="Y81" s="2"/>
      <c r="Z81" s="22">
        <f t="shared" si="15"/>
        <v>0</v>
      </c>
    </row>
    <row r="82" spans="1:26" s="24" customFormat="1" hidden="1" outlineLevel="1" x14ac:dyDescent="0.25">
      <c r="A82" s="51"/>
      <c r="B82" s="11" t="str">
        <f>CONCATENATE("          ", "5003", " - ", "PURCHASES @ COST-RENTAL TEXT")</f>
        <v xml:space="preserve">          5003 - PURCHASES @ COST-RENTAL TEXT</v>
      </c>
      <c r="C82" s="11"/>
      <c r="D82" s="2"/>
      <c r="E82" s="2"/>
      <c r="F82" s="22">
        <f t="shared" si="8"/>
        <v>0</v>
      </c>
      <c r="G82" s="2"/>
      <c r="H82" s="2"/>
      <c r="I82" s="2"/>
      <c r="J82" s="22">
        <f t="shared" si="9"/>
        <v>0</v>
      </c>
      <c r="K82" s="2"/>
      <c r="L82" s="2">
        <f t="shared" si="10"/>
        <v>0</v>
      </c>
      <c r="M82" s="2"/>
      <c r="N82" s="22">
        <f t="shared" si="11"/>
        <v>0</v>
      </c>
      <c r="O82" s="11"/>
      <c r="P82" s="2">
        <v>32.520000000000003</v>
      </c>
      <c r="Q82" s="2"/>
      <c r="R82" s="22">
        <f t="shared" si="12"/>
        <v>7.970044123507316E-6</v>
      </c>
      <c r="S82" s="2"/>
      <c r="T82" s="2"/>
      <c r="U82" s="2"/>
      <c r="V82" s="22">
        <f t="shared" si="13"/>
        <v>0</v>
      </c>
      <c r="W82" s="2"/>
      <c r="X82" s="2">
        <f t="shared" si="14"/>
        <v>32.520000000000003</v>
      </c>
      <c r="Y82" s="2"/>
      <c r="Z82" s="22">
        <f t="shared" si="15"/>
        <v>0</v>
      </c>
    </row>
    <row r="83" spans="1:26" s="24" customFormat="1" hidden="1" outlineLevel="1" x14ac:dyDescent="0.25">
      <c r="A83" s="51"/>
      <c r="B83" s="11" t="str">
        <f>CONCATENATE("          ", "5004", " - ", "PURCHASES @ COST-DIGITAL TEXT")</f>
        <v xml:space="preserve">          5004 - PURCHASES @ COST-DIGITAL TEXT</v>
      </c>
      <c r="C83" s="11"/>
      <c r="D83" s="2">
        <v>3282.02</v>
      </c>
      <c r="E83" s="2"/>
      <c r="F83" s="22">
        <f t="shared" si="8"/>
        <v>1.618032721825536E-2</v>
      </c>
      <c r="G83" s="2"/>
      <c r="H83" s="2"/>
      <c r="I83" s="2"/>
      <c r="J83" s="22">
        <f t="shared" si="9"/>
        <v>0</v>
      </c>
      <c r="K83" s="2"/>
      <c r="L83" s="2">
        <f t="shared" si="10"/>
        <v>3282.02</v>
      </c>
      <c r="M83" s="2"/>
      <c r="N83" s="22">
        <f t="shared" si="11"/>
        <v>0</v>
      </c>
      <c r="O83" s="11"/>
      <c r="P83" s="2">
        <v>220008.58000000002</v>
      </c>
      <c r="Q83" s="2"/>
      <c r="R83" s="22">
        <f t="shared" si="12"/>
        <v>5.391999047202304E-2</v>
      </c>
      <c r="S83" s="2"/>
      <c r="T83" s="2"/>
      <c r="U83" s="2"/>
      <c r="V83" s="22">
        <f t="shared" si="13"/>
        <v>0</v>
      </c>
      <c r="W83" s="2"/>
      <c r="X83" s="2">
        <f t="shared" si="14"/>
        <v>220008.58000000002</v>
      </c>
      <c r="Y83" s="2"/>
      <c r="Z83" s="22">
        <f t="shared" si="15"/>
        <v>0</v>
      </c>
    </row>
    <row r="84" spans="1:26" s="24" customFormat="1" hidden="1" outlineLevel="1" x14ac:dyDescent="0.25">
      <c r="A84" s="51"/>
      <c r="B84" s="11" t="str">
        <f>CONCATENATE("          ", "5011", " - ", "PURCHASES @ COST-NO VALUE TEXT")</f>
        <v xml:space="preserve">          5011 - PURCHASES @ COST-NO VALUE TEXT</v>
      </c>
      <c r="C84" s="11"/>
      <c r="D84" s="2"/>
      <c r="E84" s="2"/>
      <c r="F84" s="22">
        <f t="shared" si="8"/>
        <v>0</v>
      </c>
      <c r="G84" s="2"/>
      <c r="H84" s="2"/>
      <c r="I84" s="2"/>
      <c r="J84" s="22">
        <f t="shared" si="9"/>
        <v>0</v>
      </c>
      <c r="K84" s="2"/>
      <c r="L84" s="2">
        <f t="shared" si="10"/>
        <v>0</v>
      </c>
      <c r="M84" s="2"/>
      <c r="N84" s="22">
        <f t="shared" si="11"/>
        <v>0</v>
      </c>
      <c r="O84" s="11"/>
      <c r="P84" s="2">
        <v>67.17</v>
      </c>
      <c r="Q84" s="2"/>
      <c r="R84" s="22">
        <f t="shared" si="12"/>
        <v>1.6462111432225907E-5</v>
      </c>
      <c r="S84" s="2"/>
      <c r="T84" s="2"/>
      <c r="U84" s="2"/>
      <c r="V84" s="22">
        <f t="shared" si="13"/>
        <v>0</v>
      </c>
      <c r="W84" s="2"/>
      <c r="X84" s="2">
        <f t="shared" si="14"/>
        <v>67.17</v>
      </c>
      <c r="Y84" s="2"/>
      <c r="Z84" s="22">
        <f t="shared" si="15"/>
        <v>0</v>
      </c>
    </row>
    <row r="85" spans="1:26" s="24" customFormat="1" hidden="1" outlineLevel="1" x14ac:dyDescent="0.25">
      <c r="A85" s="51"/>
      <c r="B85" s="11" t="str">
        <f>CONCATENATE("          ", "5013", " - ", "PURCHASES @ COST-TRADE BOOKS")</f>
        <v xml:space="preserve">          5013 - PURCHASES @ COST-TRADE BOOKS</v>
      </c>
      <c r="C85" s="11"/>
      <c r="D85" s="2">
        <v>305.11</v>
      </c>
      <c r="E85" s="2"/>
      <c r="F85" s="22">
        <f t="shared" si="8"/>
        <v>1.5041893826246923E-3</v>
      </c>
      <c r="G85" s="2"/>
      <c r="H85" s="2"/>
      <c r="I85" s="2"/>
      <c r="J85" s="22">
        <f t="shared" si="9"/>
        <v>0</v>
      </c>
      <c r="K85" s="2"/>
      <c r="L85" s="2">
        <f t="shared" si="10"/>
        <v>305.11</v>
      </c>
      <c r="M85" s="2"/>
      <c r="N85" s="22">
        <f t="shared" si="11"/>
        <v>0</v>
      </c>
      <c r="O85" s="11"/>
      <c r="P85" s="2">
        <v>5962.09</v>
      </c>
      <c r="Q85" s="2"/>
      <c r="R85" s="22">
        <f t="shared" si="12"/>
        <v>1.4611968132940262E-3</v>
      </c>
      <c r="S85" s="2"/>
      <c r="T85" s="2"/>
      <c r="U85" s="2"/>
      <c r="V85" s="22">
        <f t="shared" si="13"/>
        <v>0</v>
      </c>
      <c r="W85" s="2"/>
      <c r="X85" s="2">
        <f t="shared" si="14"/>
        <v>5962.09</v>
      </c>
      <c r="Y85" s="2"/>
      <c r="Z85" s="22">
        <f t="shared" si="15"/>
        <v>0</v>
      </c>
    </row>
    <row r="86" spans="1:26" s="24" customFormat="1" hidden="1" outlineLevel="1" x14ac:dyDescent="0.25">
      <c r="A86" s="51"/>
      <c r="B86" s="11" t="str">
        <f>CONCATENATE("          ", "5014", " - ", "PURCHASES @ COST-REMAINDERS")</f>
        <v xml:space="preserve">          5014 - PURCHASES @ COST-REMAINDERS</v>
      </c>
      <c r="C86" s="11"/>
      <c r="D86" s="2">
        <v>21.16</v>
      </c>
      <c r="E86" s="2"/>
      <c r="F86" s="22">
        <f t="shared" si="8"/>
        <v>1.043185976740798E-4</v>
      </c>
      <c r="G86" s="2"/>
      <c r="H86" s="2"/>
      <c r="I86" s="2"/>
      <c r="J86" s="22">
        <f t="shared" si="9"/>
        <v>0</v>
      </c>
      <c r="K86" s="2"/>
      <c r="L86" s="2">
        <f t="shared" si="10"/>
        <v>21.16</v>
      </c>
      <c r="M86" s="2"/>
      <c r="N86" s="22">
        <f t="shared" si="11"/>
        <v>0</v>
      </c>
      <c r="O86" s="11"/>
      <c r="P86" s="2">
        <v>111.57</v>
      </c>
      <c r="Q86" s="2"/>
      <c r="R86" s="22">
        <f t="shared" si="12"/>
        <v>2.7343721490151022E-5</v>
      </c>
      <c r="S86" s="2"/>
      <c r="T86" s="2"/>
      <c r="U86" s="2"/>
      <c r="V86" s="22">
        <f t="shared" si="13"/>
        <v>0</v>
      </c>
      <c r="W86" s="2"/>
      <c r="X86" s="2">
        <f t="shared" si="14"/>
        <v>111.57</v>
      </c>
      <c r="Y86" s="2"/>
      <c r="Z86" s="22">
        <f t="shared" si="15"/>
        <v>0</v>
      </c>
    </row>
    <row r="87" spans="1:26" s="24" customFormat="1" hidden="1" outlineLevel="1" x14ac:dyDescent="0.25">
      <c r="A87" s="51"/>
      <c r="B87" s="11" t="str">
        <f>CONCATENATE("          ", "5018", " - ", "PURCHASES @ COST-STUDY GUIDES")</f>
        <v xml:space="preserve">          5018 - PURCHASES @ COST-STUDY GUIDES</v>
      </c>
      <c r="C87" s="11"/>
      <c r="D87" s="2"/>
      <c r="E87" s="2"/>
      <c r="F87" s="22">
        <f t="shared" si="8"/>
        <v>0</v>
      </c>
      <c r="G87" s="2"/>
      <c r="H87" s="2"/>
      <c r="I87" s="2"/>
      <c r="J87" s="22">
        <f t="shared" si="9"/>
        <v>0</v>
      </c>
      <c r="K87" s="2"/>
      <c r="L87" s="2">
        <f t="shared" si="10"/>
        <v>0</v>
      </c>
      <c r="M87" s="2"/>
      <c r="N87" s="22">
        <f t="shared" si="11"/>
        <v>0</v>
      </c>
      <c r="O87" s="11"/>
      <c r="P87" s="2">
        <v>522.34</v>
      </c>
      <c r="Q87" s="2"/>
      <c r="R87" s="22">
        <f t="shared" si="12"/>
        <v>1.2801577021749115E-4</v>
      </c>
      <c r="S87" s="2"/>
      <c r="T87" s="2"/>
      <c r="U87" s="2"/>
      <c r="V87" s="22">
        <f t="shared" si="13"/>
        <v>0</v>
      </c>
      <c r="W87" s="2"/>
      <c r="X87" s="2">
        <f t="shared" si="14"/>
        <v>522.34</v>
      </c>
      <c r="Y87" s="2"/>
      <c r="Z87" s="22">
        <f t="shared" si="15"/>
        <v>0</v>
      </c>
    </row>
    <row r="88" spans="1:26" s="24" customFormat="1" hidden="1" outlineLevel="1" x14ac:dyDescent="0.25">
      <c r="A88" s="51"/>
      <c r="B88" s="11" t="str">
        <f>CONCATENATE("          ", "5025", " - ", "PURCHASES @ COST-TEST FORMS")</f>
        <v xml:space="preserve">          5025 - PURCHASES @ COST-TEST FORMS</v>
      </c>
      <c r="C88" s="11"/>
      <c r="D88" s="2"/>
      <c r="E88" s="2"/>
      <c r="F88" s="22">
        <f t="shared" si="8"/>
        <v>0</v>
      </c>
      <c r="G88" s="2"/>
      <c r="H88" s="2"/>
      <c r="I88" s="2"/>
      <c r="J88" s="22">
        <f t="shared" si="9"/>
        <v>0</v>
      </c>
      <c r="K88" s="2"/>
      <c r="L88" s="2">
        <f t="shared" si="10"/>
        <v>0</v>
      </c>
      <c r="M88" s="2"/>
      <c r="N88" s="22">
        <f t="shared" si="11"/>
        <v>0</v>
      </c>
      <c r="O88" s="11"/>
      <c r="P88" s="2">
        <v>599.29</v>
      </c>
      <c r="Q88" s="2"/>
      <c r="R88" s="22">
        <f t="shared" si="12"/>
        <v>1.4687477683815187E-4</v>
      </c>
      <c r="S88" s="2"/>
      <c r="T88" s="2"/>
      <c r="U88" s="2"/>
      <c r="V88" s="22">
        <f t="shared" si="13"/>
        <v>0</v>
      </c>
      <c r="W88" s="2"/>
      <c r="X88" s="2">
        <f t="shared" si="14"/>
        <v>599.29</v>
      </c>
      <c r="Y88" s="2"/>
      <c r="Z88" s="22">
        <f t="shared" si="15"/>
        <v>0</v>
      </c>
    </row>
    <row r="89" spans="1:26" s="24" customFormat="1" hidden="1" outlineLevel="1" x14ac:dyDescent="0.25">
      <c r="A89" s="51"/>
      <c r="B89" s="11" t="str">
        <f>CONCATENATE("          ", "5026", " - ", "PURCHASES @ COST-WRITING INSTR")</f>
        <v xml:space="preserve">          5026 - PURCHASES @ COST-WRITING INSTR</v>
      </c>
      <c r="C89" s="11"/>
      <c r="D89" s="2"/>
      <c r="E89" s="2"/>
      <c r="F89" s="22">
        <f t="shared" si="8"/>
        <v>0</v>
      </c>
      <c r="G89" s="2"/>
      <c r="H89" s="2"/>
      <c r="I89" s="2"/>
      <c r="J89" s="22">
        <f t="shared" si="9"/>
        <v>0</v>
      </c>
      <c r="K89" s="2"/>
      <c r="L89" s="2">
        <f t="shared" si="10"/>
        <v>0</v>
      </c>
      <c r="M89" s="2"/>
      <c r="N89" s="22">
        <f t="shared" si="11"/>
        <v>0</v>
      </c>
      <c r="O89" s="11"/>
      <c r="P89" s="2">
        <v>374.91</v>
      </c>
      <c r="Q89" s="2"/>
      <c r="R89" s="22">
        <f t="shared" si="12"/>
        <v>9.1883433036412299E-5</v>
      </c>
      <c r="S89" s="2"/>
      <c r="T89" s="2"/>
      <c r="U89" s="2"/>
      <c r="V89" s="22">
        <f t="shared" si="13"/>
        <v>0</v>
      </c>
      <c r="W89" s="2"/>
      <c r="X89" s="2">
        <f t="shared" si="14"/>
        <v>374.91</v>
      </c>
      <c r="Y89" s="2"/>
      <c r="Z89" s="22">
        <f t="shared" si="15"/>
        <v>0</v>
      </c>
    </row>
    <row r="90" spans="1:26" s="24" customFormat="1" hidden="1" outlineLevel="1" x14ac:dyDescent="0.25">
      <c r="A90" s="51"/>
      <c r="B90" s="11" t="str">
        <f>CONCATENATE("          ", "5027", " - ", "PURCHASES @ COST-SCHOOL SUPPLI")</f>
        <v xml:space="preserve">          5027 - PURCHASES @ COST-SCHOOL SUPPLI</v>
      </c>
      <c r="C90" s="11"/>
      <c r="D90" s="2"/>
      <c r="E90" s="2"/>
      <c r="F90" s="22">
        <f t="shared" si="8"/>
        <v>0</v>
      </c>
      <c r="G90" s="2"/>
      <c r="H90" s="2"/>
      <c r="I90" s="2"/>
      <c r="J90" s="22">
        <f t="shared" si="9"/>
        <v>0</v>
      </c>
      <c r="K90" s="2"/>
      <c r="L90" s="2">
        <f t="shared" si="10"/>
        <v>0</v>
      </c>
      <c r="M90" s="2"/>
      <c r="N90" s="22">
        <f t="shared" si="11"/>
        <v>0</v>
      </c>
      <c r="O90" s="11"/>
      <c r="P90" s="2">
        <v>19071.350000000002</v>
      </c>
      <c r="Q90" s="2"/>
      <c r="R90" s="22">
        <f t="shared" si="12"/>
        <v>4.6740313959056359E-3</v>
      </c>
      <c r="S90" s="2"/>
      <c r="T90" s="2"/>
      <c r="U90" s="2"/>
      <c r="V90" s="22">
        <f t="shared" si="13"/>
        <v>0</v>
      </c>
      <c r="W90" s="2"/>
      <c r="X90" s="2">
        <f t="shared" si="14"/>
        <v>19071.350000000002</v>
      </c>
      <c r="Y90" s="2"/>
      <c r="Z90" s="22">
        <f t="shared" si="15"/>
        <v>0</v>
      </c>
    </row>
    <row r="91" spans="1:26" s="24" customFormat="1" hidden="1" outlineLevel="1" x14ac:dyDescent="0.25">
      <c r="A91" s="51"/>
      <c r="B91" s="11" t="str">
        <f>CONCATENATE("          ", "5028", " - ", "PURCHASES @ COST-ART/TECH")</f>
        <v xml:space="preserve">          5028 - PURCHASES @ COST-ART/TECH</v>
      </c>
      <c r="C91" s="11"/>
      <c r="D91" s="2">
        <v>833.13</v>
      </c>
      <c r="E91" s="2"/>
      <c r="F91" s="22">
        <f t="shared" si="8"/>
        <v>4.1073229338471689E-3</v>
      </c>
      <c r="G91" s="2"/>
      <c r="H91" s="2"/>
      <c r="I91" s="2"/>
      <c r="J91" s="22">
        <f t="shared" si="9"/>
        <v>0</v>
      </c>
      <c r="K91" s="2"/>
      <c r="L91" s="2">
        <f t="shared" si="10"/>
        <v>833.13</v>
      </c>
      <c r="M91" s="2"/>
      <c r="N91" s="22">
        <f t="shared" si="11"/>
        <v>0</v>
      </c>
      <c r="O91" s="11"/>
      <c r="P91" s="2">
        <v>42191.58</v>
      </c>
      <c r="Q91" s="2"/>
      <c r="R91" s="22">
        <f t="shared" si="12"/>
        <v>1.0340367596570997E-2</v>
      </c>
      <c r="S91" s="2"/>
      <c r="T91" s="2"/>
      <c r="U91" s="2"/>
      <c r="V91" s="22">
        <f t="shared" si="13"/>
        <v>0</v>
      </c>
      <c r="W91" s="2"/>
      <c r="X91" s="2">
        <f t="shared" si="14"/>
        <v>42191.58</v>
      </c>
      <c r="Y91" s="2"/>
      <c r="Z91" s="22">
        <f t="shared" si="15"/>
        <v>0</v>
      </c>
    </row>
    <row r="92" spans="1:26" s="24" customFormat="1" hidden="1" outlineLevel="1" x14ac:dyDescent="0.25">
      <c r="A92" s="51"/>
      <c r="B92" s="11" t="str">
        <f>CONCATENATE("          ", "5031", " - ", "PURCHASES @ COST-FOOD")</f>
        <v xml:space="preserve">          5031 - PURCHASES @ COST-FOOD</v>
      </c>
      <c r="C92" s="11"/>
      <c r="D92" s="2">
        <v>271.45999999999998</v>
      </c>
      <c r="E92" s="2"/>
      <c r="F92" s="22">
        <f t="shared" si="8"/>
        <v>1.3382952043764509E-3</v>
      </c>
      <c r="G92" s="2"/>
      <c r="H92" s="2"/>
      <c r="I92" s="2"/>
      <c r="J92" s="22">
        <f t="shared" si="9"/>
        <v>0</v>
      </c>
      <c r="K92" s="2"/>
      <c r="L92" s="2">
        <f t="shared" si="10"/>
        <v>271.45999999999998</v>
      </c>
      <c r="M92" s="2"/>
      <c r="N92" s="22">
        <f t="shared" si="11"/>
        <v>0</v>
      </c>
      <c r="O92" s="11"/>
      <c r="P92" s="2">
        <v>7785.72</v>
      </c>
      <c r="Q92" s="2"/>
      <c r="R92" s="22">
        <f t="shared" si="12"/>
        <v>1.9081344382925393E-3</v>
      </c>
      <c r="S92" s="2"/>
      <c r="T92" s="2"/>
      <c r="U92" s="2"/>
      <c r="V92" s="22">
        <f t="shared" si="13"/>
        <v>0</v>
      </c>
      <c r="W92" s="2"/>
      <c r="X92" s="2">
        <f t="shared" si="14"/>
        <v>7785.72</v>
      </c>
      <c r="Y92" s="2"/>
      <c r="Z92" s="22">
        <f t="shared" si="15"/>
        <v>0</v>
      </c>
    </row>
    <row r="93" spans="1:26" s="24" customFormat="1" hidden="1" outlineLevel="1" x14ac:dyDescent="0.25">
      <c r="A93" s="51"/>
      <c r="B93" s="11" t="str">
        <f>CONCATENATE("          ", "5040", " - ", "PURCHASES @ COST-LOGO CLOTHING")</f>
        <v xml:space="preserve">          5040 - PURCHASES @ COST-LOGO CLOTHING</v>
      </c>
      <c r="C93" s="11"/>
      <c r="D93" s="2">
        <v>26599.9</v>
      </c>
      <c r="E93" s="2"/>
      <c r="F93" s="22">
        <f t="shared" si="8"/>
        <v>0.13113725265929846</v>
      </c>
      <c r="G93" s="2"/>
      <c r="H93" s="2"/>
      <c r="I93" s="2"/>
      <c r="J93" s="22">
        <f t="shared" si="9"/>
        <v>0</v>
      </c>
      <c r="K93" s="2"/>
      <c r="L93" s="2">
        <f t="shared" si="10"/>
        <v>26599.9</v>
      </c>
      <c r="M93" s="2"/>
      <c r="N93" s="22">
        <f t="shared" si="11"/>
        <v>0</v>
      </c>
      <c r="O93" s="11"/>
      <c r="P93" s="2">
        <v>193971.09</v>
      </c>
      <c r="Q93" s="2"/>
      <c r="R93" s="22">
        <f t="shared" si="12"/>
        <v>4.7538688375916627E-2</v>
      </c>
      <c r="S93" s="2"/>
      <c r="T93" s="2"/>
      <c r="U93" s="2"/>
      <c r="V93" s="22">
        <f t="shared" si="13"/>
        <v>0</v>
      </c>
      <c r="W93" s="2"/>
      <c r="X93" s="2">
        <f t="shared" si="14"/>
        <v>193971.09</v>
      </c>
      <c r="Y93" s="2"/>
      <c r="Z93" s="22">
        <f t="shared" si="15"/>
        <v>0</v>
      </c>
    </row>
    <row r="94" spans="1:26" s="24" customFormat="1" hidden="1" outlineLevel="1" x14ac:dyDescent="0.25">
      <c r="A94" s="51"/>
      <c r="B94" s="11" t="str">
        <f>CONCATENATE("          ", "5041", " - ", "PURCHASES @ COST-LOGO GIFTS")</f>
        <v xml:space="preserve">          5041 - PURCHASES @ COST-LOGO GIFTS</v>
      </c>
      <c r="C94" s="11"/>
      <c r="D94" s="2">
        <v>26592.809999999998</v>
      </c>
      <c r="E94" s="2"/>
      <c r="F94" s="22">
        <f t="shared" si="8"/>
        <v>0.131102299027091</v>
      </c>
      <c r="G94" s="2"/>
      <c r="H94" s="2"/>
      <c r="I94" s="2"/>
      <c r="J94" s="22">
        <f t="shared" si="9"/>
        <v>0</v>
      </c>
      <c r="K94" s="2"/>
      <c r="L94" s="2">
        <f t="shared" si="10"/>
        <v>26592.809999999998</v>
      </c>
      <c r="M94" s="2"/>
      <c r="N94" s="22">
        <f t="shared" si="11"/>
        <v>0</v>
      </c>
      <c r="O94" s="11"/>
      <c r="P94" s="2">
        <v>67563.81</v>
      </c>
      <c r="Q94" s="2"/>
      <c r="R94" s="22">
        <f t="shared" si="12"/>
        <v>1.6558626901976164E-2</v>
      </c>
      <c r="S94" s="2"/>
      <c r="T94" s="2"/>
      <c r="U94" s="2"/>
      <c r="V94" s="22">
        <f t="shared" si="13"/>
        <v>0</v>
      </c>
      <c r="W94" s="2"/>
      <c r="X94" s="2">
        <f t="shared" si="14"/>
        <v>67563.81</v>
      </c>
      <c r="Y94" s="2"/>
      <c r="Z94" s="22">
        <f t="shared" si="15"/>
        <v>0</v>
      </c>
    </row>
    <row r="95" spans="1:26" s="24" customFormat="1" hidden="1" outlineLevel="1" x14ac:dyDescent="0.25">
      <c r="A95" s="51"/>
      <c r="B95" s="11" t="str">
        <f>CONCATENATE("          ", "5042", " - ", "PURCHASES @ COST-EVERYDAY GIFT")</f>
        <v xml:space="preserve">          5042 - PURCHASES @ COST-EVERYDAY GIFT</v>
      </c>
      <c r="C95" s="11"/>
      <c r="D95" s="2">
        <v>1196.2</v>
      </c>
      <c r="E95" s="2"/>
      <c r="F95" s="22">
        <f t="shared" si="8"/>
        <v>5.8972545622747764E-3</v>
      </c>
      <c r="G95" s="2"/>
      <c r="H95" s="2"/>
      <c r="I95" s="2"/>
      <c r="J95" s="22">
        <f t="shared" si="9"/>
        <v>0</v>
      </c>
      <c r="K95" s="2"/>
      <c r="L95" s="2">
        <f t="shared" si="10"/>
        <v>1196.2</v>
      </c>
      <c r="M95" s="2"/>
      <c r="N95" s="22">
        <f t="shared" si="11"/>
        <v>0</v>
      </c>
      <c r="O95" s="11"/>
      <c r="P95" s="2">
        <v>19018.18</v>
      </c>
      <c r="Q95" s="2"/>
      <c r="R95" s="22">
        <f t="shared" si="12"/>
        <v>4.6610004227799623E-3</v>
      </c>
      <c r="S95" s="2"/>
      <c r="T95" s="2"/>
      <c r="U95" s="2"/>
      <c r="V95" s="22">
        <f t="shared" si="13"/>
        <v>0</v>
      </c>
      <c r="W95" s="2"/>
      <c r="X95" s="2">
        <f t="shared" si="14"/>
        <v>19018.18</v>
      </c>
      <c r="Y95" s="2"/>
      <c r="Z95" s="22">
        <f t="shared" si="15"/>
        <v>0</v>
      </c>
    </row>
    <row r="96" spans="1:26" s="24" customFormat="1" hidden="1" outlineLevel="1" x14ac:dyDescent="0.25">
      <c r="A96" s="51"/>
      <c r="B96" s="11" t="str">
        <f>CONCATENATE("          ", "5043", " - ", "PURCHASES @ COST-CARDS")</f>
        <v xml:space="preserve">          5043 - PURCHASES @ COST-CARDS</v>
      </c>
      <c r="C96" s="11"/>
      <c r="D96" s="2"/>
      <c r="E96" s="2"/>
      <c r="F96" s="22">
        <f t="shared" si="8"/>
        <v>0</v>
      </c>
      <c r="G96" s="2"/>
      <c r="H96" s="2"/>
      <c r="I96" s="2"/>
      <c r="J96" s="22">
        <f t="shared" si="9"/>
        <v>0</v>
      </c>
      <c r="K96" s="2"/>
      <c r="L96" s="2">
        <f t="shared" si="10"/>
        <v>0</v>
      </c>
      <c r="M96" s="2"/>
      <c r="N96" s="22">
        <f t="shared" si="11"/>
        <v>0</v>
      </c>
      <c r="O96" s="11"/>
      <c r="P96" s="2">
        <v>55364.33</v>
      </c>
      <c r="Q96" s="2"/>
      <c r="R96" s="22">
        <f t="shared" si="12"/>
        <v>1.3568762391402823E-2</v>
      </c>
      <c r="S96" s="2"/>
      <c r="T96" s="2"/>
      <c r="U96" s="2"/>
      <c r="V96" s="22">
        <f t="shared" si="13"/>
        <v>0</v>
      </c>
      <c r="W96" s="2"/>
      <c r="X96" s="2">
        <f t="shared" si="14"/>
        <v>55364.33</v>
      </c>
      <c r="Y96" s="2"/>
      <c r="Z96" s="22">
        <f t="shared" si="15"/>
        <v>0</v>
      </c>
    </row>
    <row r="97" spans="1:26" s="24" customFormat="1" hidden="1" outlineLevel="1" x14ac:dyDescent="0.25">
      <c r="A97" s="51"/>
      <c r="B97" s="11" t="str">
        <f>CONCATENATE("          ", "5044", " - ", "PURCHASES @ COST-ACCESSORIES")</f>
        <v xml:space="preserve">          5044 - PURCHASES @ COST-ACCESSORIES</v>
      </c>
      <c r="C97" s="11"/>
      <c r="D97" s="2"/>
      <c r="E97" s="2"/>
      <c r="F97" s="22">
        <f t="shared" si="8"/>
        <v>0</v>
      </c>
      <c r="G97" s="2"/>
      <c r="H97" s="2"/>
      <c r="I97" s="2"/>
      <c r="J97" s="22">
        <f t="shared" si="9"/>
        <v>0</v>
      </c>
      <c r="K97" s="2"/>
      <c r="L97" s="2">
        <f t="shared" si="10"/>
        <v>0</v>
      </c>
      <c r="M97" s="2"/>
      <c r="N97" s="22">
        <f t="shared" si="11"/>
        <v>0</v>
      </c>
      <c r="O97" s="11"/>
      <c r="P97" s="2">
        <v>1064.83</v>
      </c>
      <c r="Q97" s="2"/>
      <c r="R97" s="22">
        <f t="shared" si="12"/>
        <v>2.6096992878334239E-4</v>
      </c>
      <c r="S97" s="2"/>
      <c r="T97" s="2"/>
      <c r="U97" s="2"/>
      <c r="V97" s="22">
        <f t="shared" si="13"/>
        <v>0</v>
      </c>
      <c r="W97" s="2"/>
      <c r="X97" s="2">
        <f t="shared" si="14"/>
        <v>1064.83</v>
      </c>
      <c r="Y97" s="2"/>
      <c r="Z97" s="22">
        <f t="shared" si="15"/>
        <v>0</v>
      </c>
    </row>
    <row r="98" spans="1:26" s="24" customFormat="1" hidden="1" outlineLevel="1" x14ac:dyDescent="0.25">
      <c r="A98" s="51"/>
      <c r="B98" s="11" t="str">
        <f>CONCATENATE("          ", "5045", " - ", "PURCHASES @ COST-SPECIAL ORDER")</f>
        <v xml:space="preserve">          5045 - PURCHASES @ COST-SPECIAL ORDER</v>
      </c>
      <c r="C98" s="11"/>
      <c r="D98" s="2">
        <v>1909.13</v>
      </c>
      <c r="E98" s="2"/>
      <c r="F98" s="22">
        <f t="shared" si="8"/>
        <v>9.411992645440263E-3</v>
      </c>
      <c r="G98" s="2"/>
      <c r="H98" s="2"/>
      <c r="I98" s="2"/>
      <c r="J98" s="22">
        <f t="shared" si="9"/>
        <v>0</v>
      </c>
      <c r="K98" s="2"/>
      <c r="L98" s="2">
        <f t="shared" si="10"/>
        <v>1909.13</v>
      </c>
      <c r="M98" s="2"/>
      <c r="N98" s="22">
        <f t="shared" si="11"/>
        <v>0</v>
      </c>
      <c r="O98" s="11"/>
      <c r="P98" s="2">
        <v>95373.51</v>
      </c>
      <c r="Q98" s="2"/>
      <c r="R98" s="22">
        <f t="shared" si="12"/>
        <v>2.3374264542243731E-2</v>
      </c>
      <c r="S98" s="2"/>
      <c r="T98" s="2"/>
      <c r="U98" s="2"/>
      <c r="V98" s="22">
        <f t="shared" si="13"/>
        <v>0</v>
      </c>
      <c r="W98" s="2"/>
      <c r="X98" s="2">
        <f t="shared" si="14"/>
        <v>95373.51</v>
      </c>
      <c r="Y98" s="2"/>
      <c r="Z98" s="22">
        <f t="shared" si="15"/>
        <v>0</v>
      </c>
    </row>
    <row r="99" spans="1:26" s="24" customFormat="1" hidden="1" outlineLevel="1" x14ac:dyDescent="0.25">
      <c r="A99" s="51"/>
      <c r="B99" s="11" t="str">
        <f>CONCATENATE("          ", "5086", " - ", "PURCHASES @ COST-COMPUTER SUPP")</f>
        <v xml:space="preserve">          5086 - PURCHASES @ COST-COMPUTER SUPP</v>
      </c>
      <c r="C99" s="11"/>
      <c r="D99" s="2">
        <v>13.21</v>
      </c>
      <c r="E99" s="2"/>
      <c r="F99" s="22">
        <f t="shared" si="8"/>
        <v>6.5125173689725631E-5</v>
      </c>
      <c r="G99" s="2"/>
      <c r="H99" s="2"/>
      <c r="I99" s="2"/>
      <c r="J99" s="22">
        <f t="shared" si="9"/>
        <v>0</v>
      </c>
      <c r="K99" s="2"/>
      <c r="L99" s="2">
        <f t="shared" si="10"/>
        <v>13.21</v>
      </c>
      <c r="M99" s="2"/>
      <c r="N99" s="22">
        <f t="shared" si="11"/>
        <v>0</v>
      </c>
      <c r="O99" s="11"/>
      <c r="P99" s="2">
        <v>13.21</v>
      </c>
      <c r="Q99" s="2"/>
      <c r="R99" s="22">
        <f t="shared" si="12"/>
        <v>3.2375240735403336E-6</v>
      </c>
      <c r="S99" s="2"/>
      <c r="T99" s="2"/>
      <c r="U99" s="2"/>
      <c r="V99" s="22">
        <f t="shared" si="13"/>
        <v>0</v>
      </c>
      <c r="W99" s="2"/>
      <c r="X99" s="2">
        <f t="shared" si="14"/>
        <v>13.21</v>
      </c>
      <c r="Y99" s="2"/>
      <c r="Z99" s="22">
        <f t="shared" si="15"/>
        <v>0</v>
      </c>
    </row>
    <row r="100" spans="1:26" s="24" customFormat="1" hidden="1" outlineLevel="1" x14ac:dyDescent="0.25">
      <c r="A100" s="51"/>
      <c r="B100" s="11" t="str">
        <f>CONCATENATE("          ", "5200", " - ", "PURCHASES OFFSET")</f>
        <v xml:space="preserve">          5200 - PURCHASES OFFSET</v>
      </c>
      <c r="C100" s="11"/>
      <c r="D100" s="2">
        <v>154765.96</v>
      </c>
      <c r="E100" s="2"/>
      <c r="F100" s="22">
        <f t="shared" si="8"/>
        <v>0.76299470297177341</v>
      </c>
      <c r="G100" s="2"/>
      <c r="H100" s="2"/>
      <c r="I100" s="2"/>
      <c r="J100" s="22">
        <f t="shared" si="9"/>
        <v>0</v>
      </c>
      <c r="K100" s="2"/>
      <c r="L100" s="2">
        <f t="shared" si="10"/>
        <v>154765.96</v>
      </c>
      <c r="M100" s="2"/>
      <c r="N100" s="22">
        <f t="shared" si="11"/>
        <v>0</v>
      </c>
      <c r="O100" s="11"/>
      <c r="P100" s="2">
        <v>-1981017.4399999997</v>
      </c>
      <c r="Q100" s="2"/>
      <c r="R100" s="22">
        <f t="shared" si="12"/>
        <v>-0.48551034459524922</v>
      </c>
      <c r="S100" s="2"/>
      <c r="T100" s="2"/>
      <c r="U100" s="2"/>
      <c r="V100" s="22">
        <f t="shared" si="13"/>
        <v>0</v>
      </c>
      <c r="W100" s="2"/>
      <c r="X100" s="2">
        <f t="shared" si="14"/>
        <v>-1981017.4399999997</v>
      </c>
      <c r="Y100" s="2"/>
      <c r="Z100" s="22">
        <f t="shared" si="15"/>
        <v>0</v>
      </c>
    </row>
    <row r="101" spans="1:26" s="24" customFormat="1" hidden="1" outlineLevel="1" x14ac:dyDescent="0.25">
      <c r="A101" s="51"/>
      <c r="B101" s="11" t="str">
        <f>CONCATENATE("          ", "5300", " - ", "COG$ OFFSET")</f>
        <v xml:space="preserve">          5300 - COG$ OFFSET</v>
      </c>
      <c r="C101" s="11"/>
      <c r="D101" s="2">
        <v>104323</v>
      </c>
      <c r="E101" s="2"/>
      <c r="F101" s="22">
        <f t="shared" si="8"/>
        <v>0.51431139249305424</v>
      </c>
      <c r="G101" s="2"/>
      <c r="H101" s="2"/>
      <c r="I101" s="2"/>
      <c r="J101" s="22">
        <f t="shared" si="9"/>
        <v>0</v>
      </c>
      <c r="K101" s="2"/>
      <c r="L101" s="2">
        <f t="shared" si="10"/>
        <v>104323</v>
      </c>
      <c r="M101" s="2"/>
      <c r="N101" s="22">
        <f t="shared" si="11"/>
        <v>0</v>
      </c>
      <c r="O101" s="11"/>
      <c r="P101" s="2">
        <v>2079913.0000000002</v>
      </c>
      <c r="Q101" s="2"/>
      <c r="R101" s="22">
        <f t="shared" si="12"/>
        <v>0.5097477977569641</v>
      </c>
      <c r="S101" s="2"/>
      <c r="T101" s="2"/>
      <c r="U101" s="2"/>
      <c r="V101" s="22">
        <f t="shared" si="13"/>
        <v>0</v>
      </c>
      <c r="W101" s="2"/>
      <c r="X101" s="2">
        <f t="shared" si="14"/>
        <v>2079913.0000000002</v>
      </c>
      <c r="Y101" s="2"/>
      <c r="Z101" s="22">
        <f t="shared" si="15"/>
        <v>0</v>
      </c>
    </row>
    <row r="102" spans="1:26" s="24" customFormat="1" hidden="1" outlineLevel="1" x14ac:dyDescent="0.25">
      <c r="A102" s="51"/>
      <c r="B102" s="11" t="str">
        <f>CONCATENATE("          ", "5501", " - ", "FREIGHT-IN-NEW TEXT")</f>
        <v xml:space="preserve">          5501 - FREIGHT-IN-NEW TEXT</v>
      </c>
      <c r="C102" s="11"/>
      <c r="D102" s="2">
        <v>4638.13</v>
      </c>
      <c r="E102" s="2"/>
      <c r="F102" s="22">
        <f t="shared" si="8"/>
        <v>2.2865936551516055E-2</v>
      </c>
      <c r="G102" s="2"/>
      <c r="H102" s="2"/>
      <c r="I102" s="2"/>
      <c r="J102" s="22">
        <f t="shared" si="9"/>
        <v>0</v>
      </c>
      <c r="K102" s="2"/>
      <c r="L102" s="2">
        <f t="shared" si="10"/>
        <v>4638.13</v>
      </c>
      <c r="M102" s="2"/>
      <c r="N102" s="22">
        <f t="shared" si="11"/>
        <v>0</v>
      </c>
      <c r="O102" s="11"/>
      <c r="P102" s="2">
        <v>49256.92</v>
      </c>
      <c r="Q102" s="2"/>
      <c r="R102" s="22">
        <f t="shared" si="12"/>
        <v>1.2071950362486776E-2</v>
      </c>
      <c r="S102" s="2"/>
      <c r="T102" s="2"/>
      <c r="U102" s="2"/>
      <c r="V102" s="22">
        <f t="shared" si="13"/>
        <v>0</v>
      </c>
      <c r="W102" s="2"/>
      <c r="X102" s="2">
        <f t="shared" si="14"/>
        <v>49256.92</v>
      </c>
      <c r="Y102" s="2"/>
      <c r="Z102" s="22">
        <f t="shared" si="15"/>
        <v>0</v>
      </c>
    </row>
    <row r="103" spans="1:26" s="24" customFormat="1" hidden="1" outlineLevel="1" x14ac:dyDescent="0.25">
      <c r="A103" s="51"/>
      <c r="B103" s="11" t="str">
        <f>CONCATENATE("          ", "5502", " - ", "FREIGHT-IN-USED TEXT")</f>
        <v xml:space="preserve">          5502 - FREIGHT-IN-USED TEXT</v>
      </c>
      <c r="C103" s="11"/>
      <c r="D103" s="2">
        <v>1484.45</v>
      </c>
      <c r="E103" s="2"/>
      <c r="F103" s="22">
        <f t="shared" si="8"/>
        <v>7.3183243061100073E-3</v>
      </c>
      <c r="G103" s="2"/>
      <c r="H103" s="2"/>
      <c r="I103" s="2"/>
      <c r="J103" s="22">
        <f t="shared" si="9"/>
        <v>0</v>
      </c>
      <c r="K103" s="2"/>
      <c r="L103" s="2">
        <f t="shared" si="10"/>
        <v>1484.45</v>
      </c>
      <c r="M103" s="2"/>
      <c r="N103" s="22">
        <f t="shared" si="11"/>
        <v>0</v>
      </c>
      <c r="O103" s="11"/>
      <c r="P103" s="2">
        <v>17136.759999999998</v>
      </c>
      <c r="Q103" s="2"/>
      <c r="R103" s="22">
        <f t="shared" si="12"/>
        <v>4.1998995490146133E-3</v>
      </c>
      <c r="S103" s="2"/>
      <c r="T103" s="2"/>
      <c r="U103" s="2"/>
      <c r="V103" s="22">
        <f t="shared" si="13"/>
        <v>0</v>
      </c>
      <c r="W103" s="2"/>
      <c r="X103" s="2">
        <f t="shared" si="14"/>
        <v>17136.759999999998</v>
      </c>
      <c r="Y103" s="2"/>
      <c r="Z103" s="22">
        <f t="shared" si="15"/>
        <v>0</v>
      </c>
    </row>
    <row r="104" spans="1:26" s="24" customFormat="1" hidden="1" outlineLevel="1" x14ac:dyDescent="0.25">
      <c r="A104" s="51"/>
      <c r="B104" s="11" t="str">
        <f>CONCATENATE("          ", "5504", " - ", "FREIGHT-IN-DIGITAL TEXT")</f>
        <v xml:space="preserve">          5504 - FREIGHT-IN-DIGITAL TEXT</v>
      </c>
      <c r="C104" s="11"/>
      <c r="D104" s="2">
        <v>6.94</v>
      </c>
      <c r="E104" s="2"/>
      <c r="F104" s="22">
        <f t="shared" si="8"/>
        <v>3.4214133641687799E-5</v>
      </c>
      <c r="G104" s="2"/>
      <c r="H104" s="2"/>
      <c r="I104" s="2"/>
      <c r="J104" s="22">
        <f t="shared" si="9"/>
        <v>0</v>
      </c>
      <c r="K104" s="2"/>
      <c r="L104" s="2">
        <f t="shared" si="10"/>
        <v>6.94</v>
      </c>
      <c r="M104" s="2"/>
      <c r="N104" s="22">
        <f t="shared" si="11"/>
        <v>0</v>
      </c>
      <c r="O104" s="11"/>
      <c r="P104" s="2">
        <v>28.92</v>
      </c>
      <c r="Q104" s="2"/>
      <c r="R104" s="22">
        <f t="shared" si="12"/>
        <v>7.0877514161079824E-6</v>
      </c>
      <c r="S104" s="2"/>
      <c r="T104" s="2"/>
      <c r="U104" s="2"/>
      <c r="V104" s="22">
        <f t="shared" si="13"/>
        <v>0</v>
      </c>
      <c r="W104" s="2"/>
      <c r="X104" s="2">
        <f t="shared" si="14"/>
        <v>28.92</v>
      </c>
      <c r="Y104" s="2"/>
      <c r="Z104" s="22">
        <f t="shared" si="15"/>
        <v>0</v>
      </c>
    </row>
    <row r="105" spans="1:26" s="24" customFormat="1" hidden="1" outlineLevel="1" x14ac:dyDescent="0.25">
      <c r="A105" s="51"/>
      <c r="B105" s="11" t="str">
        <f>CONCATENATE("          ", "5513", " - ", "FREIGHT-IN-TRADE BOOKS")</f>
        <v xml:space="preserve">          5513 - FREIGHT-IN-TRADE BOOKS</v>
      </c>
      <c r="C105" s="11"/>
      <c r="D105" s="2"/>
      <c r="E105" s="2"/>
      <c r="F105" s="22">
        <f t="shared" si="8"/>
        <v>0</v>
      </c>
      <c r="G105" s="2"/>
      <c r="H105" s="2"/>
      <c r="I105" s="2"/>
      <c r="J105" s="22">
        <f t="shared" si="9"/>
        <v>0</v>
      </c>
      <c r="K105" s="2"/>
      <c r="L105" s="2">
        <f t="shared" si="10"/>
        <v>0</v>
      </c>
      <c r="M105" s="2"/>
      <c r="N105" s="22">
        <f t="shared" si="11"/>
        <v>0</v>
      </c>
      <c r="O105" s="11"/>
      <c r="P105" s="2">
        <v>33.520000000000003</v>
      </c>
      <c r="Q105" s="2"/>
      <c r="R105" s="22">
        <f t="shared" si="12"/>
        <v>8.2151254311182424E-6</v>
      </c>
      <c r="S105" s="2"/>
      <c r="T105" s="2"/>
      <c r="U105" s="2"/>
      <c r="V105" s="22">
        <f t="shared" si="13"/>
        <v>0</v>
      </c>
      <c r="W105" s="2"/>
      <c r="X105" s="2">
        <f t="shared" si="14"/>
        <v>33.520000000000003</v>
      </c>
      <c r="Y105" s="2"/>
      <c r="Z105" s="22">
        <f t="shared" si="15"/>
        <v>0</v>
      </c>
    </row>
    <row r="106" spans="1:26" s="24" customFormat="1" hidden="1" outlineLevel="1" x14ac:dyDescent="0.25">
      <c r="A106" s="51"/>
      <c r="B106" s="11" t="str">
        <f>CONCATENATE("          ", "5525", " - ", "FREIGHT-IN-TEST FORMS")</f>
        <v xml:space="preserve">          5525 - FREIGHT-IN-TEST FORMS</v>
      </c>
      <c r="C106" s="11"/>
      <c r="D106" s="2"/>
      <c r="E106" s="2"/>
      <c r="F106" s="22">
        <f t="shared" si="8"/>
        <v>0</v>
      </c>
      <c r="G106" s="2"/>
      <c r="H106" s="2"/>
      <c r="I106" s="2"/>
      <c r="J106" s="22">
        <f t="shared" si="9"/>
        <v>0</v>
      </c>
      <c r="K106" s="2"/>
      <c r="L106" s="2">
        <f t="shared" si="10"/>
        <v>0</v>
      </c>
      <c r="M106" s="2"/>
      <c r="N106" s="22">
        <f t="shared" si="11"/>
        <v>0</v>
      </c>
      <c r="O106" s="11"/>
      <c r="P106" s="2">
        <v>48.14</v>
      </c>
      <c r="Q106" s="2"/>
      <c r="R106" s="22">
        <f t="shared" si="12"/>
        <v>1.1798214148389981E-5</v>
      </c>
      <c r="S106" s="2"/>
      <c r="T106" s="2"/>
      <c r="U106" s="2"/>
      <c r="V106" s="22">
        <f t="shared" si="13"/>
        <v>0</v>
      </c>
      <c r="W106" s="2"/>
      <c r="X106" s="2">
        <f t="shared" si="14"/>
        <v>48.14</v>
      </c>
      <c r="Y106" s="2"/>
      <c r="Z106" s="22">
        <f t="shared" si="15"/>
        <v>0</v>
      </c>
    </row>
    <row r="107" spans="1:26" s="24" customFormat="1" hidden="1" outlineLevel="1" x14ac:dyDescent="0.25">
      <c r="A107" s="51"/>
      <c r="B107" s="11" t="str">
        <f>CONCATENATE("          ", "5527", " - ", "FREIGHT-IN-SCHOOL SUPPLIES")</f>
        <v xml:space="preserve">          5527 - FREIGHT-IN-SCHOOL SUPPLIES</v>
      </c>
      <c r="C107" s="11"/>
      <c r="D107" s="2"/>
      <c r="E107" s="2"/>
      <c r="F107" s="22">
        <f t="shared" si="8"/>
        <v>0</v>
      </c>
      <c r="G107" s="2"/>
      <c r="H107" s="2"/>
      <c r="I107" s="2"/>
      <c r="J107" s="22">
        <f t="shared" si="9"/>
        <v>0</v>
      </c>
      <c r="K107" s="2"/>
      <c r="L107" s="2">
        <f t="shared" si="10"/>
        <v>0</v>
      </c>
      <c r="M107" s="2"/>
      <c r="N107" s="22">
        <f t="shared" si="11"/>
        <v>0</v>
      </c>
      <c r="O107" s="11"/>
      <c r="P107" s="2">
        <v>177.5</v>
      </c>
      <c r="Q107" s="2"/>
      <c r="R107" s="22">
        <f t="shared" si="12"/>
        <v>4.3501932100939377E-5</v>
      </c>
      <c r="S107" s="2"/>
      <c r="T107" s="2"/>
      <c r="U107" s="2"/>
      <c r="V107" s="22">
        <f t="shared" si="13"/>
        <v>0</v>
      </c>
      <c r="W107" s="2"/>
      <c r="X107" s="2">
        <f t="shared" si="14"/>
        <v>177.5</v>
      </c>
      <c r="Y107" s="2"/>
      <c r="Z107" s="22">
        <f t="shared" si="15"/>
        <v>0</v>
      </c>
    </row>
    <row r="108" spans="1:26" s="24" customFormat="1" hidden="1" outlineLevel="1" x14ac:dyDescent="0.25">
      <c r="A108" s="51"/>
      <c r="B108" s="11" t="str">
        <f>CONCATENATE("          ", "5528", " - ", "FREIGHT-IN-ART/TECH")</f>
        <v xml:space="preserve">          5528 - FREIGHT-IN-ART/TECH</v>
      </c>
      <c r="C108" s="11"/>
      <c r="D108" s="2">
        <v>12.76</v>
      </c>
      <c r="E108" s="2"/>
      <c r="F108" s="22">
        <f t="shared" si="8"/>
        <v>6.2906677992498024E-5</v>
      </c>
      <c r="G108" s="2"/>
      <c r="H108" s="2"/>
      <c r="I108" s="2"/>
      <c r="J108" s="22">
        <f t="shared" si="9"/>
        <v>0</v>
      </c>
      <c r="K108" s="2"/>
      <c r="L108" s="2">
        <f t="shared" si="10"/>
        <v>12.76</v>
      </c>
      <c r="M108" s="2"/>
      <c r="N108" s="22">
        <f t="shared" si="11"/>
        <v>0</v>
      </c>
      <c r="O108" s="11"/>
      <c r="P108" s="2">
        <v>351.5</v>
      </c>
      <c r="Q108" s="2"/>
      <c r="R108" s="22">
        <f t="shared" si="12"/>
        <v>8.6146079625240522E-5</v>
      </c>
      <c r="S108" s="2"/>
      <c r="T108" s="2"/>
      <c r="U108" s="2"/>
      <c r="V108" s="22">
        <f t="shared" si="13"/>
        <v>0</v>
      </c>
      <c r="W108" s="2"/>
      <c r="X108" s="2">
        <f t="shared" si="14"/>
        <v>351.5</v>
      </c>
      <c r="Y108" s="2"/>
      <c r="Z108" s="22">
        <f t="shared" si="15"/>
        <v>0</v>
      </c>
    </row>
    <row r="109" spans="1:26" s="24" customFormat="1" hidden="1" outlineLevel="1" x14ac:dyDescent="0.25">
      <c r="A109" s="51"/>
      <c r="B109" s="11" t="str">
        <f>CONCATENATE("          ", "5540", " - ", "FREIGHT-IN-LOGO CLOTHING")</f>
        <v xml:space="preserve">          5540 - FREIGHT-IN-LOGO CLOTHING</v>
      </c>
      <c r="C109" s="11"/>
      <c r="D109" s="2">
        <v>150.6</v>
      </c>
      <c r="E109" s="2"/>
      <c r="F109" s="22">
        <f t="shared" si="8"/>
        <v>7.4245656000550178E-4</v>
      </c>
      <c r="G109" s="2"/>
      <c r="H109" s="2"/>
      <c r="I109" s="2"/>
      <c r="J109" s="22">
        <f t="shared" si="9"/>
        <v>0</v>
      </c>
      <c r="K109" s="2"/>
      <c r="L109" s="2">
        <f t="shared" si="10"/>
        <v>150.6</v>
      </c>
      <c r="M109" s="2"/>
      <c r="N109" s="22">
        <f t="shared" si="11"/>
        <v>0</v>
      </c>
      <c r="O109" s="11"/>
      <c r="P109" s="2">
        <v>5941.23</v>
      </c>
      <c r="Q109" s="2"/>
      <c r="R109" s="22">
        <f t="shared" si="12"/>
        <v>1.4560844172172623E-3</v>
      </c>
      <c r="S109" s="2"/>
      <c r="T109" s="2"/>
      <c r="U109" s="2"/>
      <c r="V109" s="22">
        <f t="shared" si="13"/>
        <v>0</v>
      </c>
      <c r="W109" s="2"/>
      <c r="X109" s="2">
        <f t="shared" si="14"/>
        <v>5941.23</v>
      </c>
      <c r="Y109" s="2"/>
      <c r="Z109" s="22">
        <f t="shared" si="15"/>
        <v>0</v>
      </c>
    </row>
    <row r="110" spans="1:26" s="24" customFormat="1" hidden="1" outlineLevel="1" x14ac:dyDescent="0.25">
      <c r="A110" s="51"/>
      <c r="B110" s="11" t="str">
        <f>CONCATENATE("          ", "5541", " - ", "FREIGHT-IN-LOGO GIFTS")</f>
        <v xml:space="preserve">          5541 - FREIGHT-IN-LOGO GIFTS</v>
      </c>
      <c r="C110" s="11"/>
      <c r="D110" s="2">
        <v>375.06</v>
      </c>
      <c r="E110" s="2"/>
      <c r="F110" s="22">
        <f t="shared" si="8"/>
        <v>1.8490422137826261E-3</v>
      </c>
      <c r="G110" s="2"/>
      <c r="H110" s="2"/>
      <c r="I110" s="2"/>
      <c r="J110" s="22">
        <f t="shared" si="9"/>
        <v>0</v>
      </c>
      <c r="K110" s="2"/>
      <c r="L110" s="2">
        <f t="shared" si="10"/>
        <v>375.06</v>
      </c>
      <c r="M110" s="2"/>
      <c r="N110" s="22">
        <f t="shared" si="11"/>
        <v>0</v>
      </c>
      <c r="O110" s="11"/>
      <c r="P110" s="2">
        <v>2077.9299999999998</v>
      </c>
      <c r="Q110" s="2"/>
      <c r="R110" s="22">
        <f t="shared" si="12"/>
        <v>5.0926180152397155E-4</v>
      </c>
      <c r="S110" s="2"/>
      <c r="T110" s="2"/>
      <c r="U110" s="2"/>
      <c r="V110" s="22">
        <f t="shared" si="13"/>
        <v>0</v>
      </c>
      <c r="W110" s="2"/>
      <c r="X110" s="2">
        <f t="shared" si="14"/>
        <v>2077.9299999999998</v>
      </c>
      <c r="Y110" s="2"/>
      <c r="Z110" s="22">
        <f t="shared" si="15"/>
        <v>0</v>
      </c>
    </row>
    <row r="111" spans="1:26" s="24" customFormat="1" hidden="1" outlineLevel="1" x14ac:dyDescent="0.25">
      <c r="A111" s="51"/>
      <c r="B111" s="11" t="str">
        <f>CONCATENATE("          ", "5542", " - ", "FREIGHT-IN-EVERYDAY GIFTS")</f>
        <v xml:space="preserve">          5542 - FREIGHT-IN-EVERYDAY GIFTS</v>
      </c>
      <c r="C111" s="11"/>
      <c r="D111" s="2"/>
      <c r="E111" s="2"/>
      <c r="F111" s="22">
        <f t="shared" si="8"/>
        <v>0</v>
      </c>
      <c r="G111" s="2"/>
      <c r="H111" s="2"/>
      <c r="I111" s="2"/>
      <c r="J111" s="22">
        <f t="shared" si="9"/>
        <v>0</v>
      </c>
      <c r="K111" s="2"/>
      <c r="L111" s="2">
        <f t="shared" si="10"/>
        <v>0</v>
      </c>
      <c r="M111" s="2"/>
      <c r="N111" s="22">
        <f t="shared" si="11"/>
        <v>0</v>
      </c>
      <c r="O111" s="11"/>
      <c r="P111" s="2">
        <v>383.93</v>
      </c>
      <c r="Q111" s="2"/>
      <c r="R111" s="22">
        <f t="shared" si="12"/>
        <v>9.4094066431062851E-5</v>
      </c>
      <c r="S111" s="2"/>
      <c r="T111" s="2"/>
      <c r="U111" s="2"/>
      <c r="V111" s="22">
        <f t="shared" si="13"/>
        <v>0</v>
      </c>
      <c r="W111" s="2"/>
      <c r="X111" s="2">
        <f t="shared" si="14"/>
        <v>383.93</v>
      </c>
      <c r="Y111" s="2"/>
      <c r="Z111" s="22">
        <f t="shared" si="15"/>
        <v>0</v>
      </c>
    </row>
    <row r="112" spans="1:26" s="24" customFormat="1" hidden="1" outlineLevel="1" x14ac:dyDescent="0.25">
      <c r="A112" s="51"/>
      <c r="B112" s="11" t="str">
        <f>CONCATENATE("          ", "5543", " - ", "FREIGHT-IN-CARDS")</f>
        <v xml:space="preserve">          5543 - FREIGHT-IN-CARDS</v>
      </c>
      <c r="C112" s="11"/>
      <c r="D112" s="2"/>
      <c r="E112" s="2"/>
      <c r="F112" s="22">
        <f t="shared" si="8"/>
        <v>0</v>
      </c>
      <c r="G112" s="2"/>
      <c r="H112" s="2"/>
      <c r="I112" s="2"/>
      <c r="J112" s="22">
        <f t="shared" si="9"/>
        <v>0</v>
      </c>
      <c r="K112" s="2"/>
      <c r="L112" s="2">
        <f t="shared" si="10"/>
        <v>0</v>
      </c>
      <c r="M112" s="2"/>
      <c r="N112" s="22">
        <f t="shared" si="11"/>
        <v>0</v>
      </c>
      <c r="O112" s="11"/>
      <c r="P112" s="2">
        <v>9110.5300000000007</v>
      </c>
      <c r="Q112" s="2"/>
      <c r="R112" s="22">
        <f t="shared" si="12"/>
        <v>2.2328206054285705E-3</v>
      </c>
      <c r="S112" s="2"/>
      <c r="T112" s="2"/>
      <c r="U112" s="2"/>
      <c r="V112" s="22">
        <f t="shared" si="13"/>
        <v>0</v>
      </c>
      <c r="W112" s="2"/>
      <c r="X112" s="2">
        <f t="shared" si="14"/>
        <v>9110.5300000000007</v>
      </c>
      <c r="Y112" s="2"/>
      <c r="Z112" s="22">
        <f t="shared" si="15"/>
        <v>0</v>
      </c>
    </row>
    <row r="113" spans="1:26" s="24" customFormat="1" hidden="1" outlineLevel="1" x14ac:dyDescent="0.25">
      <c r="A113" s="51"/>
      <c r="B113" s="11" t="str">
        <f>CONCATENATE("          ", "5545", " - ", "FREIGHT-IN-SPECIAL ORDERS")</f>
        <v xml:space="preserve">          5545 - FREIGHT-IN-SPECIAL ORDERS</v>
      </c>
      <c r="C113" s="11"/>
      <c r="D113" s="2">
        <v>134.74</v>
      </c>
      <c r="E113" s="2"/>
      <c r="F113" s="22">
        <f t="shared" si="8"/>
        <v>6.6426691165432478E-4</v>
      </c>
      <c r="G113" s="2"/>
      <c r="H113" s="2"/>
      <c r="I113" s="2"/>
      <c r="J113" s="22">
        <f t="shared" si="9"/>
        <v>0</v>
      </c>
      <c r="K113" s="2"/>
      <c r="L113" s="2">
        <f t="shared" si="10"/>
        <v>134.74</v>
      </c>
      <c r="M113" s="2"/>
      <c r="N113" s="22">
        <f t="shared" si="11"/>
        <v>0</v>
      </c>
      <c r="O113" s="11"/>
      <c r="P113" s="2">
        <v>1248.53</v>
      </c>
      <c r="Q113" s="2"/>
      <c r="R113" s="22">
        <f t="shared" si="12"/>
        <v>3.0599136499146953E-4</v>
      </c>
      <c r="S113" s="2"/>
      <c r="T113" s="2"/>
      <c r="U113" s="2"/>
      <c r="V113" s="22">
        <f t="shared" si="13"/>
        <v>0</v>
      </c>
      <c r="W113" s="2"/>
      <c r="X113" s="2">
        <f t="shared" si="14"/>
        <v>1248.53</v>
      </c>
      <c r="Y113" s="2"/>
      <c r="Z113" s="22">
        <f t="shared" si="15"/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5" t="s">
        <v>6</v>
      </c>
      <c r="C115" s="25"/>
      <c r="D115" s="19">
        <f>D12-D78</f>
        <v>86530.010000000053</v>
      </c>
      <c r="E115" s="13"/>
      <c r="F115" s="21">
        <f>IF(D$12=0,0,D115/D$12)</f>
        <v>0.42659212192457974</v>
      </c>
      <c r="G115" s="13"/>
      <c r="H115" s="19">
        <f>H12-H78</f>
        <v>331314</v>
      </c>
      <c r="I115" s="13"/>
      <c r="J115" s="21">
        <f>IF(H$12=0,0,H115/H$12)</f>
        <v>0.49827648438909944</v>
      </c>
      <c r="K115" s="15"/>
      <c r="L115" s="19">
        <f>+D115-H115</f>
        <v>-244783.98999999993</v>
      </c>
      <c r="M115" s="15"/>
      <c r="N115" s="21">
        <f>IF(H115=0,0,L115/H115)</f>
        <v>-0.73882778874421229</v>
      </c>
      <c r="O115" s="26"/>
      <c r="P115" s="19">
        <f>P12-P78</f>
        <v>1457751.629999998</v>
      </c>
      <c r="Q115" s="13"/>
      <c r="R115" s="21">
        <f>IF(P$12=0,0,P115/P$12)</f>
        <v>0.3572676756523584</v>
      </c>
      <c r="S115" s="13"/>
      <c r="T115" s="19">
        <f>T12-T78</f>
        <v>2910074</v>
      </c>
      <c r="U115" s="13"/>
      <c r="V115" s="21">
        <f>IF(T$12=0,0,T115/T$12)</f>
        <v>0.39827053706442661</v>
      </c>
      <c r="W115" s="15"/>
      <c r="X115" s="19">
        <f>+P115-T115</f>
        <v>-1452322.370000002</v>
      </c>
      <c r="Y115" s="15"/>
      <c r="Z115" s="21">
        <f>IF(T115=0,0,X115/T115)</f>
        <v>-0.49906716117871985</v>
      </c>
    </row>
    <row r="116" spans="1:26" x14ac:dyDescent="0.25">
      <c r="A116" s="9"/>
      <c r="B116" s="10"/>
      <c r="C116" s="9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25">
      <c r="A117" s="10"/>
      <c r="B117" s="26" t="s">
        <v>9</v>
      </c>
      <c r="C117" s="10"/>
      <c r="D117" s="20">
        <f>SUM(OSRRefD22x_0)</f>
        <v>249679.34000000005</v>
      </c>
      <c r="E117" s="20"/>
      <c r="F117" s="33">
        <f t="shared" ref="F117:F128" si="16">IF(D$12=0,0,D117/D$12)</f>
        <v>1.2309167588369463</v>
      </c>
      <c r="G117" s="20"/>
      <c r="H117" s="20">
        <f>SUM(OSRRefH22x_0)</f>
        <v>364529.61230922845</v>
      </c>
      <c r="I117" s="20"/>
      <c r="J117" s="33">
        <f t="shared" ref="J117:J128" si="17">IF(H$12=0,0,H117/H$12)</f>
        <v>0.54823078311560558</v>
      </c>
      <c r="K117" s="4"/>
      <c r="L117" s="20">
        <f t="shared" ref="L117:L128" si="18">+D117-H117</f>
        <v>-114850.2723092284</v>
      </c>
      <c r="M117" s="4"/>
      <c r="N117" s="33">
        <f t="shared" ref="N117:N128" si="19">IF(H117=0,0,L117/H117)</f>
        <v>-0.31506431420392139</v>
      </c>
      <c r="O117" s="10"/>
      <c r="P117" s="20">
        <f>SUM(OSRRefP22x_0)</f>
        <v>2156074.7799999998</v>
      </c>
      <c r="Q117" s="20"/>
      <c r="R117" s="33">
        <f t="shared" ref="R117:R128" si="20">IF(P$12=0,0,P117/P$12)</f>
        <v>0.52841362638933975</v>
      </c>
      <c r="S117" s="20"/>
      <c r="T117" s="20">
        <f>SUM(OSRRefT22x_0)</f>
        <v>3035518.0807639519</v>
      </c>
      <c r="U117" s="20"/>
      <c r="V117" s="33">
        <f t="shared" ref="V117:V128" si="21">IF(T$12=0,0,T117/T$12)</f>
        <v>0.41543871952900052</v>
      </c>
      <c r="W117" s="4"/>
      <c r="X117" s="20">
        <f t="shared" ref="X117:X128" si="22">+P117-T117</f>
        <v>-879443.30076395208</v>
      </c>
      <c r="Y117" s="4"/>
      <c r="Z117" s="33">
        <f t="shared" ref="Z117:Z128" si="23">IF(T117=0,0,X117/T117)</f>
        <v>-0.2897176947608962</v>
      </c>
    </row>
    <row r="118" spans="1:26" s="28" customFormat="1" outlineLevel="1" collapsed="1" x14ac:dyDescent="0.25">
      <c r="A118" s="29"/>
      <c r="B118" s="14" t="str">
        <f>CONCATENATE("     ","*Benefits                                         ")</f>
        <v xml:space="preserve">     *Benefits                                         </v>
      </c>
      <c r="C118" s="14"/>
      <c r="D118" s="1">
        <f>SUM(OSRRefD22_0x_0)</f>
        <v>45174.219999999994</v>
      </c>
      <c r="E118" s="1"/>
      <c r="F118" s="5">
        <f t="shared" si="16"/>
        <v>0.22270847265691723</v>
      </c>
      <c r="G118" s="1"/>
      <c r="H118" s="1">
        <f>SUM(OSRRefH22_0x_0)</f>
        <v>42210.249365536147</v>
      </c>
      <c r="I118" s="1"/>
      <c r="J118" s="5">
        <f t="shared" si="17"/>
        <v>6.3481696092065429E-2</v>
      </c>
      <c r="K118" s="1"/>
      <c r="L118" s="1">
        <f t="shared" si="18"/>
        <v>2963.9706344638471</v>
      </c>
      <c r="M118" s="1"/>
      <c r="N118" s="5">
        <f t="shared" si="19"/>
        <v>7.0219216399225348E-2</v>
      </c>
      <c r="O118" s="14"/>
      <c r="P118" s="1">
        <f>SUM(OSRRefP22_0x_0)</f>
        <v>364629.69</v>
      </c>
      <c r="Q118" s="1"/>
      <c r="R118" s="5">
        <f t="shared" si="20"/>
        <v>8.9363921218966622E-2</v>
      </c>
      <c r="S118" s="1"/>
      <c r="T118" s="1">
        <f>SUM(OSRRefT22_0x_0)</f>
        <v>365046.87293164374</v>
      </c>
      <c r="U118" s="1"/>
      <c r="V118" s="5">
        <f t="shared" si="21"/>
        <v>4.9960040238212246E-2</v>
      </c>
      <c r="W118" s="1"/>
      <c r="X118" s="1">
        <f t="shared" si="22"/>
        <v>-417.18293164373608</v>
      </c>
      <c r="Y118" s="1"/>
      <c r="Z118" s="5">
        <f t="shared" si="23"/>
        <v>-1.1428201761965373E-3</v>
      </c>
    </row>
    <row r="119" spans="1:26" s="24" customFormat="1" hidden="1" outlineLevel="2" x14ac:dyDescent="0.25">
      <c r="A119" s="27"/>
      <c r="B119" s="11" t="str">
        <f>CONCATENATE("          ", "6111", " - ", "F.I.C.A.")</f>
        <v xml:space="preserve">          6111 - F.I.C.A.</v>
      </c>
      <c r="C119" s="11"/>
      <c r="D119" s="7">
        <v>7541.13</v>
      </c>
      <c r="E119" s="2"/>
      <c r="F119" s="6">
        <f t="shared" si="16"/>
        <v>3.7177698793853187E-2</v>
      </c>
      <c r="G119" s="2"/>
      <c r="H119" s="7">
        <v>6526.0206564092277</v>
      </c>
      <c r="I119" s="2"/>
      <c r="J119" s="6">
        <f t="shared" si="17"/>
        <v>9.8147456181333515E-3</v>
      </c>
      <c r="K119" s="2"/>
      <c r="L119" s="7">
        <f t="shared" si="18"/>
        <v>1015.1093435907724</v>
      </c>
      <c r="M119" s="2"/>
      <c r="N119" s="6">
        <f t="shared" si="19"/>
        <v>0.15554798199938732</v>
      </c>
      <c r="O119" s="11"/>
      <c r="P119" s="7">
        <v>70989.84</v>
      </c>
      <c r="Q119" s="2"/>
      <c r="R119" s="6">
        <f t="shared" si="20"/>
        <v>1.7398282814290424E-2</v>
      </c>
      <c r="S119" s="2"/>
      <c r="T119" s="7">
        <v>67358.949368795758</v>
      </c>
      <c r="U119" s="2"/>
      <c r="V119" s="6">
        <f t="shared" si="21"/>
        <v>9.2186951057621931E-3</v>
      </c>
      <c r="W119" s="2"/>
      <c r="X119" s="7">
        <f t="shared" si="22"/>
        <v>3630.8906312042382</v>
      </c>
      <c r="Y119" s="2"/>
      <c r="Z119" s="6">
        <f t="shared" si="23"/>
        <v>5.3903611401728002E-2</v>
      </c>
    </row>
    <row r="120" spans="1:26" s="24" customFormat="1" hidden="1" outlineLevel="2" x14ac:dyDescent="0.25">
      <c r="A120" s="27"/>
      <c r="B120" s="11" t="str">
        <f>CONCATENATE("          ", "6112", " - ", "COMPENSATION INSURANCE")</f>
        <v xml:space="preserve">          6112 - COMPENSATION INSURANCE</v>
      </c>
      <c r="C120" s="11"/>
      <c r="D120" s="7">
        <v>1772.31</v>
      </c>
      <c r="E120" s="2"/>
      <c r="F120" s="6">
        <f t="shared" si="16"/>
        <v>8.7374713536743087E-3</v>
      </c>
      <c r="G120" s="2"/>
      <c r="H120" s="7">
        <v>3133.8231559807682</v>
      </c>
      <c r="I120" s="2"/>
      <c r="J120" s="6">
        <f t="shared" si="17"/>
        <v>4.7130830114611808E-3</v>
      </c>
      <c r="K120" s="2"/>
      <c r="L120" s="7">
        <f t="shared" si="18"/>
        <v>-1361.5131559807683</v>
      </c>
      <c r="M120" s="2"/>
      <c r="N120" s="6">
        <f t="shared" si="19"/>
        <v>-0.43445755813705644</v>
      </c>
      <c r="O120" s="11"/>
      <c r="P120" s="7">
        <v>18261.88</v>
      </c>
      <c r="Q120" s="2"/>
      <c r="R120" s="6">
        <f t="shared" si="20"/>
        <v>4.475645429833819E-3</v>
      </c>
      <c r="S120" s="2"/>
      <c r="T120" s="7">
        <v>26542.229090644225</v>
      </c>
      <c r="U120" s="2"/>
      <c r="V120" s="6">
        <f t="shared" si="21"/>
        <v>3.6325494935241934E-3</v>
      </c>
      <c r="W120" s="2"/>
      <c r="X120" s="7">
        <f t="shared" si="22"/>
        <v>-8280.3490906442239</v>
      </c>
      <c r="Y120" s="2"/>
      <c r="Z120" s="6">
        <f t="shared" si="23"/>
        <v>-0.31196886525114553</v>
      </c>
    </row>
    <row r="121" spans="1:26" s="24" customFormat="1" hidden="1" outlineLevel="2" x14ac:dyDescent="0.25">
      <c r="A121" s="27"/>
      <c r="B121" s="11" t="str">
        <f>CONCATENATE("          ", "6113", " - ", "GROUP INSURANCE")</f>
        <v xml:space="preserve">          6113 - GROUP INSURANCE</v>
      </c>
      <c r="C121" s="11"/>
      <c r="D121" s="7">
        <v>18287.8</v>
      </c>
      <c r="E121" s="2"/>
      <c r="F121" s="6">
        <f t="shared" si="16"/>
        <v>9.0158679137241793E-2</v>
      </c>
      <c r="G121" s="2"/>
      <c r="H121" s="7">
        <v>17287.5</v>
      </c>
      <c r="I121" s="2"/>
      <c r="J121" s="6">
        <f t="shared" si="17"/>
        <v>2.5999368345064069E-2</v>
      </c>
      <c r="K121" s="2"/>
      <c r="L121" s="7">
        <f t="shared" si="18"/>
        <v>1000.2999999999993</v>
      </c>
      <c r="M121" s="2"/>
      <c r="N121" s="6">
        <f t="shared" si="19"/>
        <v>5.7862617498192291E-2</v>
      </c>
      <c r="O121" s="11"/>
      <c r="P121" s="7">
        <v>128305.79000000001</v>
      </c>
      <c r="Q121" s="2"/>
      <c r="R121" s="6">
        <f t="shared" si="20"/>
        <v>3.1445350787252885E-2</v>
      </c>
      <c r="S121" s="2"/>
      <c r="T121" s="7">
        <v>140639.99999999997</v>
      </c>
      <c r="U121" s="2"/>
      <c r="V121" s="6">
        <f t="shared" si="21"/>
        <v>1.9247884532400533E-2</v>
      </c>
      <c r="W121" s="2"/>
      <c r="X121" s="7">
        <f t="shared" si="22"/>
        <v>-12334.209999999963</v>
      </c>
      <c r="Y121" s="2"/>
      <c r="Z121" s="6">
        <f t="shared" si="23"/>
        <v>-8.7700583048918979E-2</v>
      </c>
    </row>
    <row r="122" spans="1:26" s="24" customFormat="1" hidden="1" outlineLevel="2" x14ac:dyDescent="0.25">
      <c r="A122" s="27"/>
      <c r="B122" s="11" t="str">
        <f>CONCATENATE("          ", "6114", " - ", "STATE UNEMPLOYMENT INSURANCE")</f>
        <v xml:space="preserve">          6114 - STATE UNEMPLOYMENT INSURANCE</v>
      </c>
      <c r="C122" s="11"/>
      <c r="D122" s="7">
        <v>314.29000000000002</v>
      </c>
      <c r="E122" s="2"/>
      <c r="F122" s="6">
        <f t="shared" si="16"/>
        <v>1.5494466948481353E-3</v>
      </c>
      <c r="G122" s="2"/>
      <c r="H122" s="7">
        <v>445.50325629999998</v>
      </c>
      <c r="I122" s="2"/>
      <c r="J122" s="6">
        <f t="shared" si="17"/>
        <v>6.7001031146604096E-4</v>
      </c>
      <c r="K122" s="2"/>
      <c r="L122" s="7">
        <f t="shared" si="18"/>
        <v>-131.21325629999995</v>
      </c>
      <c r="M122" s="2"/>
      <c r="N122" s="6">
        <f t="shared" si="19"/>
        <v>-0.29452816437247659</v>
      </c>
      <c r="O122" s="11"/>
      <c r="P122" s="7">
        <v>2930.55</v>
      </c>
      <c r="Q122" s="2"/>
      <c r="R122" s="6">
        <f t="shared" si="20"/>
        <v>7.1822302601919942E-4</v>
      </c>
      <c r="S122" s="2"/>
      <c r="T122" s="7">
        <v>3761.5323355500004</v>
      </c>
      <c r="U122" s="2"/>
      <c r="V122" s="6">
        <f t="shared" si="21"/>
        <v>5.1480048392745534E-4</v>
      </c>
      <c r="W122" s="2"/>
      <c r="X122" s="7">
        <f t="shared" si="22"/>
        <v>-830.98233555000024</v>
      </c>
      <c r="Y122" s="2"/>
      <c r="Z122" s="6">
        <f t="shared" si="23"/>
        <v>-0.22091590910875325</v>
      </c>
    </row>
    <row r="123" spans="1:26" s="24" customFormat="1" hidden="1" outlineLevel="2" x14ac:dyDescent="0.25">
      <c r="A123" s="27"/>
      <c r="B123" s="11" t="str">
        <f>CONCATENATE("          ", "6115", " - ", "P.E.R.S.")</f>
        <v xml:space="preserve">          6115 - P.E.R.S.</v>
      </c>
      <c r="C123" s="11"/>
      <c r="D123" s="7">
        <v>6291.44</v>
      </c>
      <c r="E123" s="2"/>
      <c r="F123" s="6">
        <f t="shared" si="16"/>
        <v>3.1016739043034619E-2</v>
      </c>
      <c r="G123" s="2"/>
      <c r="H123" s="7">
        <v>4739.7712141538468</v>
      </c>
      <c r="I123" s="2"/>
      <c r="J123" s="6">
        <f t="shared" si="17"/>
        <v>7.1283330538318094E-3</v>
      </c>
      <c r="K123" s="2"/>
      <c r="L123" s="7">
        <f t="shared" si="18"/>
        <v>1551.6687858461528</v>
      </c>
      <c r="M123" s="2"/>
      <c r="N123" s="6">
        <f t="shared" si="19"/>
        <v>0.32737208522060696</v>
      </c>
      <c r="O123" s="11"/>
      <c r="P123" s="7">
        <v>55816.71</v>
      </c>
      <c r="Q123" s="2"/>
      <c r="R123" s="6">
        <f t="shared" si="20"/>
        <v>1.3679632273339853E-2</v>
      </c>
      <c r="S123" s="2"/>
      <c r="T123" s="7">
        <v>41167.39738184616</v>
      </c>
      <c r="U123" s="2"/>
      <c r="V123" s="6">
        <f t="shared" si="21"/>
        <v>5.6341390166753632E-3</v>
      </c>
      <c r="W123" s="2"/>
      <c r="X123" s="7">
        <f t="shared" si="22"/>
        <v>14649.312618153839</v>
      </c>
      <c r="Y123" s="2"/>
      <c r="Z123" s="6">
        <f t="shared" si="23"/>
        <v>0.35584743145831793</v>
      </c>
    </row>
    <row r="124" spans="1:26" s="24" customFormat="1" hidden="1" outlineLevel="2" x14ac:dyDescent="0.25">
      <c r="A124" s="27"/>
      <c r="B124" s="11" t="str">
        <f>CONCATENATE("          ", "6116", " - ", "EDUCATIONAL BENEFITS")</f>
        <v xml:space="preserve">          6116 - EDUCATIONAL BENEFITS</v>
      </c>
      <c r="C124" s="11"/>
      <c r="D124" s="7"/>
      <c r="E124" s="2"/>
      <c r="F124" s="6">
        <f t="shared" si="16"/>
        <v>0</v>
      </c>
      <c r="G124" s="2"/>
      <c r="H124" s="7">
        <v>0</v>
      </c>
      <c r="I124" s="2"/>
      <c r="J124" s="6">
        <f t="shared" si="17"/>
        <v>0</v>
      </c>
      <c r="K124" s="2"/>
      <c r="L124" s="7">
        <f t="shared" si="18"/>
        <v>0</v>
      </c>
      <c r="M124" s="2"/>
      <c r="N124" s="6">
        <f t="shared" si="19"/>
        <v>0</v>
      </c>
      <c r="O124" s="11"/>
      <c r="P124" s="7">
        <v>0</v>
      </c>
      <c r="Q124" s="2"/>
      <c r="R124" s="6">
        <f t="shared" si="20"/>
        <v>0</v>
      </c>
      <c r="S124" s="2"/>
      <c r="T124" s="7">
        <v>0</v>
      </c>
      <c r="U124" s="2"/>
      <c r="V124" s="6">
        <f t="shared" si="21"/>
        <v>0</v>
      </c>
      <c r="W124" s="2"/>
      <c r="X124" s="7">
        <f t="shared" si="22"/>
        <v>0</v>
      </c>
      <c r="Y124" s="2"/>
      <c r="Z124" s="6">
        <f t="shared" si="23"/>
        <v>0</v>
      </c>
    </row>
    <row r="125" spans="1:26" s="24" customFormat="1" hidden="1" outlineLevel="2" x14ac:dyDescent="0.25">
      <c r="A125" s="27"/>
      <c r="B125" s="11" t="str">
        <f>CONCATENATE("          ", "6117", " - ", "RETIREMENT STAFF HOURLY")</f>
        <v xml:space="preserve">          6117 - RETIREMENT STAFF HOURLY</v>
      </c>
      <c r="C125" s="11"/>
      <c r="D125" s="7">
        <v>509.38</v>
      </c>
      <c r="E125" s="2"/>
      <c r="F125" s="6">
        <f t="shared" si="16"/>
        <v>2.511238529452872E-3</v>
      </c>
      <c r="G125" s="2"/>
      <c r="H125" s="7"/>
      <c r="I125" s="2"/>
      <c r="J125" s="6">
        <f t="shared" si="17"/>
        <v>0</v>
      </c>
      <c r="K125" s="2"/>
      <c r="L125" s="7">
        <f t="shared" si="18"/>
        <v>509.38</v>
      </c>
      <c r="M125" s="2"/>
      <c r="N125" s="6">
        <f t="shared" si="19"/>
        <v>0</v>
      </c>
      <c r="O125" s="11"/>
      <c r="P125" s="7">
        <v>2750.42</v>
      </c>
      <c r="Q125" s="2"/>
      <c r="R125" s="6">
        <f t="shared" si="20"/>
        <v>6.7407653007924332E-4</v>
      </c>
      <c r="S125" s="2"/>
      <c r="T125" s="7"/>
      <c r="U125" s="2"/>
      <c r="V125" s="6">
        <f t="shared" si="21"/>
        <v>0</v>
      </c>
      <c r="W125" s="2"/>
      <c r="X125" s="7">
        <f t="shared" si="22"/>
        <v>2750.42</v>
      </c>
      <c r="Y125" s="2"/>
      <c r="Z125" s="6">
        <f t="shared" si="23"/>
        <v>0</v>
      </c>
    </row>
    <row r="126" spans="1:26" s="24" customFormat="1" hidden="1" outlineLevel="2" x14ac:dyDescent="0.25">
      <c r="A126" s="27"/>
      <c r="B126" s="11" t="str">
        <f>CONCATENATE("          ", "6118", " - ", "VACATION")</f>
        <v xml:space="preserve">          6118 - VACATION</v>
      </c>
      <c r="C126" s="11"/>
      <c r="D126" s="7">
        <v>5425.16</v>
      </c>
      <c r="E126" s="2"/>
      <c r="F126" s="6">
        <f t="shared" si="16"/>
        <v>2.6745986926158354E-2</v>
      </c>
      <c r="G126" s="2"/>
      <c r="H126" s="7">
        <v>3978.8380123076927</v>
      </c>
      <c r="I126" s="2"/>
      <c r="J126" s="6">
        <f t="shared" si="17"/>
        <v>5.9839349279728277E-3</v>
      </c>
      <c r="K126" s="2"/>
      <c r="L126" s="7">
        <f t="shared" si="18"/>
        <v>1446.3219876923072</v>
      </c>
      <c r="M126" s="2"/>
      <c r="N126" s="6">
        <f t="shared" si="19"/>
        <v>0.36350361166210249</v>
      </c>
      <c r="O126" s="11"/>
      <c r="P126" s="7">
        <v>43490.47</v>
      </c>
      <c r="Q126" s="2"/>
      <c r="R126" s="6">
        <f t="shared" si="20"/>
        <v>1.0658701256213753E-2</v>
      </c>
      <c r="S126" s="2"/>
      <c r="T126" s="7">
        <v>34599.717757692299</v>
      </c>
      <c r="U126" s="2"/>
      <c r="V126" s="6">
        <f t="shared" si="21"/>
        <v>4.7352913271737048E-3</v>
      </c>
      <c r="W126" s="2"/>
      <c r="X126" s="7">
        <f t="shared" si="22"/>
        <v>8890.7522423077025</v>
      </c>
      <c r="Y126" s="2"/>
      <c r="Z126" s="6">
        <f t="shared" si="23"/>
        <v>0.25696025339198286</v>
      </c>
    </row>
    <row r="127" spans="1:26" s="24" customFormat="1" hidden="1" outlineLevel="2" x14ac:dyDescent="0.25">
      <c r="A127" s="27"/>
      <c r="B127" s="11" t="str">
        <f>CONCATENATE("          ", "6119", " - ", "SICK LEAVE")</f>
        <v xml:space="preserve">          6119 - SICK LEAVE</v>
      </c>
      <c r="C127" s="11"/>
      <c r="D127" s="7">
        <v>3824.03</v>
      </c>
      <c r="E127" s="2"/>
      <c r="F127" s="6">
        <f t="shared" si="16"/>
        <v>1.8852431335709425E-2</v>
      </c>
      <c r="G127" s="2"/>
      <c r="H127" s="7">
        <v>4473.7930703846123</v>
      </c>
      <c r="I127" s="2"/>
      <c r="J127" s="6">
        <f t="shared" si="17"/>
        <v>6.7283177982082236E-3</v>
      </c>
      <c r="K127" s="2"/>
      <c r="L127" s="7">
        <f t="shared" si="18"/>
        <v>-649.76307038461209</v>
      </c>
      <c r="M127" s="2"/>
      <c r="N127" s="6">
        <f t="shared" si="19"/>
        <v>-0.14523762278722291</v>
      </c>
      <c r="O127" s="11"/>
      <c r="P127" s="7">
        <v>31144.48</v>
      </c>
      <c r="Q127" s="2"/>
      <c r="R127" s="6">
        <f t="shared" si="20"/>
        <v>7.6329298832623349E-3</v>
      </c>
      <c r="S127" s="2"/>
      <c r="T127" s="7">
        <v>37977.046997115358</v>
      </c>
      <c r="U127" s="2"/>
      <c r="V127" s="6">
        <f t="shared" si="21"/>
        <v>5.1975100645764005E-3</v>
      </c>
      <c r="W127" s="2"/>
      <c r="X127" s="7">
        <f t="shared" si="22"/>
        <v>-6832.5669971153584</v>
      </c>
      <c r="Y127" s="2"/>
      <c r="Z127" s="6">
        <f t="shared" si="23"/>
        <v>-0.1799130669015509</v>
      </c>
    </row>
    <row r="128" spans="1:26" s="24" customFormat="1" hidden="1" outlineLevel="2" x14ac:dyDescent="0.25">
      <c r="A128" s="27"/>
      <c r="B128" s="11" t="str">
        <f>CONCATENATE("          ", "6156", " - ", "EMPLOYEE MEALS")</f>
        <v xml:space="preserve">          6156 - EMPLOYEE MEALS</v>
      </c>
      <c r="C128" s="11"/>
      <c r="D128" s="7">
        <v>1208.68</v>
      </c>
      <c r="E128" s="2"/>
      <c r="F128" s="6">
        <f t="shared" si="16"/>
        <v>5.9587808429445548E-3</v>
      </c>
      <c r="G128" s="2"/>
      <c r="H128" s="7">
        <v>1625</v>
      </c>
      <c r="I128" s="2"/>
      <c r="J128" s="6">
        <f t="shared" si="17"/>
        <v>2.4439030259279311E-3</v>
      </c>
      <c r="K128" s="2"/>
      <c r="L128" s="7">
        <f t="shared" si="18"/>
        <v>-416.31999999999994</v>
      </c>
      <c r="M128" s="2"/>
      <c r="N128" s="6">
        <f t="shared" si="19"/>
        <v>-0.25619692307692304</v>
      </c>
      <c r="O128" s="11"/>
      <c r="P128" s="7">
        <v>10939.55</v>
      </c>
      <c r="Q128" s="2"/>
      <c r="R128" s="6">
        <f t="shared" si="20"/>
        <v>2.6810792186751061E-3</v>
      </c>
      <c r="S128" s="2"/>
      <c r="T128" s="7">
        <v>13000</v>
      </c>
      <c r="U128" s="2"/>
      <c r="V128" s="6">
        <f t="shared" si="21"/>
        <v>1.7791702141724047E-3</v>
      </c>
      <c r="W128" s="2"/>
      <c r="X128" s="7">
        <f t="shared" si="22"/>
        <v>-2060.4500000000007</v>
      </c>
      <c r="Y128" s="2"/>
      <c r="Z128" s="6">
        <f t="shared" si="23"/>
        <v>-0.1584961538461539</v>
      </c>
    </row>
    <row r="129" spans="1:26" s="28" customFormat="1" outlineLevel="1" collapsed="1" x14ac:dyDescent="0.25">
      <c r="A129" s="29"/>
      <c r="B129" s="14" t="str">
        <f>CONCATENATE("     ","*Payroll                                          ")</f>
        <v xml:space="preserve">     *Payroll                                          </v>
      </c>
      <c r="C129" s="14"/>
      <c r="D129" s="1">
        <f>SUM(OSRRefD22_1x_0)</f>
        <v>111617.56</v>
      </c>
      <c r="E129" s="1"/>
      <c r="F129" s="5">
        <f t="shared" ref="F129:F139" si="24">IF(D$12=0,0,D129/D$12)</f>
        <v>0.55027350354453985</v>
      </c>
      <c r="G129" s="1"/>
      <c r="H129" s="1">
        <f>SUM(OSRRefH22_1x_0)</f>
        <v>159343.36294369231</v>
      </c>
      <c r="I129" s="1"/>
      <c r="J129" s="5">
        <f t="shared" ref="J129:J139" si="25">IF(H$12=0,0,H129/H$12)</f>
        <v>0.23964290883669059</v>
      </c>
      <c r="K129" s="1"/>
      <c r="L129" s="1">
        <f t="shared" ref="L129:L139" si="26">+D129-H129</f>
        <v>-47725.80294369231</v>
      </c>
      <c r="M129" s="1"/>
      <c r="N129" s="5">
        <f t="shared" ref="N129:N139" si="27">IF(H129=0,0,L129/H129)</f>
        <v>-0.29951547439448317</v>
      </c>
      <c r="O129" s="14"/>
      <c r="P129" s="1">
        <f>SUM(OSRRefP22_1x_0)</f>
        <v>1006655.3800000001</v>
      </c>
      <c r="Q129" s="1"/>
      <c r="R129" s="5">
        <f t="shared" ref="R129:R139" si="28">IF(P$12=0,0,P129/P$12)</f>
        <v>0.24671241684397371</v>
      </c>
      <c r="S129" s="1"/>
      <c r="T129" s="1">
        <f>SUM(OSRRefT22_1x_0)</f>
        <v>1346909.207832308</v>
      </c>
      <c r="U129" s="1"/>
      <c r="V129" s="5">
        <f t="shared" ref="V129:V139" si="29">IF(T$12=0,0,T129/T$12)</f>
        <v>0.18433698028998394</v>
      </c>
      <c r="W129" s="1"/>
      <c r="X129" s="1">
        <f t="shared" ref="X129:X139" si="30">+P129-T129</f>
        <v>-340253.8278323079</v>
      </c>
      <c r="Y129" s="1"/>
      <c r="Z129" s="5">
        <f t="shared" ref="Z129:Z139" si="31">IF(T129=0,0,X129/T129)</f>
        <v>-0.25261823577545101</v>
      </c>
    </row>
    <row r="130" spans="1:26" s="24" customFormat="1" hidden="1" outlineLevel="2" x14ac:dyDescent="0.25">
      <c r="A130" s="27"/>
      <c r="B130" s="11" t="str">
        <f>CONCATENATE("          ", "6001", " - ", "ADMINISTRATIVE SALARIES")</f>
        <v xml:space="preserve">          6001 - ADMINISTRATIVE SALARIES</v>
      </c>
      <c r="C130" s="11"/>
      <c r="D130" s="7">
        <v>4280.74</v>
      </c>
      <c r="E130" s="2"/>
      <c r="F130" s="6">
        <f t="shared" si="24"/>
        <v>2.11040072687779E-2</v>
      </c>
      <c r="G130" s="2"/>
      <c r="H130" s="7">
        <v>7759.6923076923094</v>
      </c>
      <c r="I130" s="2"/>
      <c r="J130" s="6">
        <f t="shared" si="25"/>
        <v>1.1670114160639339E-2</v>
      </c>
      <c r="K130" s="2"/>
      <c r="L130" s="7">
        <f t="shared" si="26"/>
        <v>-3478.9523076923097</v>
      </c>
      <c r="M130" s="2"/>
      <c r="N130" s="6">
        <f t="shared" si="27"/>
        <v>-0.44833637336928522</v>
      </c>
      <c r="O130" s="11"/>
      <c r="P130" s="7">
        <v>34496.590000000004</v>
      </c>
      <c r="Q130" s="2"/>
      <c r="R130" s="6">
        <f t="shared" si="28"/>
        <v>8.4544693853179972E-3</v>
      </c>
      <c r="S130" s="2"/>
      <c r="T130" s="7">
        <v>67897.307692307717</v>
      </c>
      <c r="U130" s="2"/>
      <c r="V130" s="6">
        <f t="shared" si="29"/>
        <v>9.2923744206655987E-3</v>
      </c>
      <c r="W130" s="2"/>
      <c r="X130" s="7">
        <f t="shared" si="30"/>
        <v>-33400.717692307713</v>
      </c>
      <c r="Y130" s="2"/>
      <c r="Z130" s="6">
        <f t="shared" si="31"/>
        <v>-0.4919299281154233</v>
      </c>
    </row>
    <row r="131" spans="1:26" s="24" customFormat="1" hidden="1" outlineLevel="2" x14ac:dyDescent="0.25">
      <c r="A131" s="27"/>
      <c r="B131" s="11" t="str">
        <f>CONCATENATE("          ", "6002", " - ", "STAFF SALARIES")</f>
        <v xml:space="preserve">          6002 - STAFF SALARIES</v>
      </c>
      <c r="C131" s="11"/>
      <c r="D131" s="7">
        <v>60271.590000000004</v>
      </c>
      <c r="E131" s="2"/>
      <c r="F131" s="6">
        <f t="shared" si="24"/>
        <v>0.29713836240014613</v>
      </c>
      <c r="G131" s="2"/>
      <c r="H131" s="7">
        <v>41699.298056000014</v>
      </c>
      <c r="I131" s="2"/>
      <c r="J131" s="6">
        <f t="shared" si="25"/>
        <v>6.2713255814233315E-2</v>
      </c>
      <c r="K131" s="2"/>
      <c r="L131" s="7">
        <f t="shared" si="26"/>
        <v>18572.29194399999</v>
      </c>
      <c r="M131" s="2"/>
      <c r="N131" s="6">
        <f t="shared" si="27"/>
        <v>0.44538620096334369</v>
      </c>
      <c r="O131" s="11"/>
      <c r="P131" s="7">
        <v>475025.04000000004</v>
      </c>
      <c r="Q131" s="2"/>
      <c r="R131" s="6">
        <f t="shared" si="28"/>
        <v>0.11641975795113248</v>
      </c>
      <c r="S131" s="2"/>
      <c r="T131" s="7">
        <v>361670.71069000027</v>
      </c>
      <c r="U131" s="2"/>
      <c r="V131" s="6">
        <f t="shared" si="29"/>
        <v>4.9497981215247198E-2</v>
      </c>
      <c r="W131" s="2"/>
      <c r="X131" s="7">
        <f t="shared" si="30"/>
        <v>113354.32930999977</v>
      </c>
      <c r="Y131" s="2"/>
      <c r="Z131" s="6">
        <f t="shared" si="31"/>
        <v>0.3134186041599577</v>
      </c>
    </row>
    <row r="132" spans="1:26" s="24" customFormat="1" hidden="1" outlineLevel="2" x14ac:dyDescent="0.25">
      <c r="A132" s="27"/>
      <c r="B132" s="11" t="str">
        <f>CONCATENATE("          ", "6003", " - ", "STAFF HOURLY-9 MONTH")</f>
        <v xml:space="preserve">          6003 - STAFF HOURLY-9 MONTH</v>
      </c>
      <c r="C132" s="11"/>
      <c r="D132" s="7"/>
      <c r="E132" s="2"/>
      <c r="F132" s="6">
        <f t="shared" si="24"/>
        <v>0</v>
      </c>
      <c r="G132" s="2"/>
      <c r="H132" s="7">
        <v>0</v>
      </c>
      <c r="I132" s="2"/>
      <c r="J132" s="6">
        <f t="shared" si="25"/>
        <v>0</v>
      </c>
      <c r="K132" s="2"/>
      <c r="L132" s="7">
        <f t="shared" si="26"/>
        <v>0</v>
      </c>
      <c r="M132" s="2"/>
      <c r="N132" s="6">
        <f t="shared" si="27"/>
        <v>0</v>
      </c>
      <c r="O132" s="11"/>
      <c r="P132" s="7"/>
      <c r="Q132" s="2"/>
      <c r="R132" s="6">
        <f t="shared" si="28"/>
        <v>0</v>
      </c>
      <c r="S132" s="2"/>
      <c r="T132" s="7">
        <v>0</v>
      </c>
      <c r="U132" s="2"/>
      <c r="V132" s="6">
        <f t="shared" si="29"/>
        <v>0</v>
      </c>
      <c r="W132" s="2"/>
      <c r="X132" s="7">
        <f t="shared" si="30"/>
        <v>0</v>
      </c>
      <c r="Y132" s="2"/>
      <c r="Z132" s="6">
        <f t="shared" si="31"/>
        <v>0</v>
      </c>
    </row>
    <row r="133" spans="1:26" s="24" customFormat="1" hidden="1" outlineLevel="2" x14ac:dyDescent="0.25">
      <c r="A133" s="27"/>
      <c r="B133" s="11" t="str">
        <f>CONCATENATE("          ", "6004", " - ", "STAFF HOURLY")</f>
        <v xml:space="preserve">          6004 - STAFF HOURLY</v>
      </c>
      <c r="C133" s="11"/>
      <c r="D133" s="7">
        <v>15570.79</v>
      </c>
      <c r="E133" s="2"/>
      <c r="F133" s="6">
        <f t="shared" si="24"/>
        <v>7.6763845816521029E-2</v>
      </c>
      <c r="G133" s="2"/>
      <c r="H133" s="7">
        <v>27401.26008</v>
      </c>
      <c r="I133" s="2"/>
      <c r="J133" s="6">
        <f t="shared" si="25"/>
        <v>4.1209859953077063E-2</v>
      </c>
      <c r="K133" s="2"/>
      <c r="L133" s="7">
        <f t="shared" si="26"/>
        <v>-11830.470079999999</v>
      </c>
      <c r="M133" s="2"/>
      <c r="N133" s="6">
        <f t="shared" si="27"/>
        <v>-0.43174912560444551</v>
      </c>
      <c r="O133" s="11"/>
      <c r="P133" s="7">
        <v>125592.43</v>
      </c>
      <c r="Q133" s="2"/>
      <c r="R133" s="6">
        <f t="shared" si="28"/>
        <v>3.0780356970433697E-2</v>
      </c>
      <c r="S133" s="2"/>
      <c r="T133" s="7">
        <v>220539.41070000001</v>
      </c>
      <c r="U133" s="2"/>
      <c r="V133" s="6">
        <f t="shared" si="29"/>
        <v>3.0182857736044223E-2</v>
      </c>
      <c r="W133" s="2"/>
      <c r="X133" s="7">
        <f t="shared" si="30"/>
        <v>-94946.980700000015</v>
      </c>
      <c r="Y133" s="2"/>
      <c r="Z133" s="6">
        <f t="shared" si="31"/>
        <v>-0.43052160336619605</v>
      </c>
    </row>
    <row r="134" spans="1:26" s="24" customFormat="1" hidden="1" outlineLevel="2" x14ac:dyDescent="0.25">
      <c r="A134" s="27"/>
      <c r="B134" s="11" t="str">
        <f>CONCATENATE("          ", "6005", " - ", "TEMPORARY WAGES-HOURLY")</f>
        <v xml:space="preserve">          6005 - TEMPORARY WAGES-HOURLY</v>
      </c>
      <c r="C134" s="11"/>
      <c r="D134" s="7">
        <v>12213.85</v>
      </c>
      <c r="E134" s="2"/>
      <c r="F134" s="6">
        <f t="shared" si="24"/>
        <v>6.0214163714629468E-2</v>
      </c>
      <c r="G134" s="2"/>
      <c r="H134" s="7">
        <v>5826.56</v>
      </c>
      <c r="I134" s="2"/>
      <c r="J134" s="6">
        <f t="shared" si="25"/>
        <v>8.7627985321542447E-3</v>
      </c>
      <c r="K134" s="2"/>
      <c r="L134" s="7">
        <f t="shared" si="26"/>
        <v>6387.29</v>
      </c>
      <c r="M134" s="2"/>
      <c r="N134" s="6">
        <f t="shared" si="27"/>
        <v>1.09623688763181</v>
      </c>
      <c r="O134" s="11"/>
      <c r="P134" s="7">
        <v>122408.07</v>
      </c>
      <c r="Q134" s="2"/>
      <c r="R134" s="6">
        <f t="shared" si="28"/>
        <v>2.9999929857729774E-2</v>
      </c>
      <c r="S134" s="2"/>
      <c r="T134" s="7">
        <v>34089.440000000002</v>
      </c>
      <c r="U134" s="2"/>
      <c r="V134" s="6">
        <f t="shared" si="29"/>
        <v>4.6654550973705645E-3</v>
      </c>
      <c r="W134" s="2"/>
      <c r="X134" s="7">
        <f t="shared" si="30"/>
        <v>88318.63</v>
      </c>
      <c r="Y134" s="2"/>
      <c r="Z134" s="6">
        <f t="shared" si="31"/>
        <v>2.5907914591732806</v>
      </c>
    </row>
    <row r="135" spans="1:26" s="24" customFormat="1" hidden="1" outlineLevel="2" x14ac:dyDescent="0.25">
      <c r="A135" s="27"/>
      <c r="B135" s="11" t="str">
        <f>CONCATENATE("          ", "6006", " - ", "TEMPORARY PART TIME")</f>
        <v xml:space="preserve">          6006 - TEMPORARY PART TIME</v>
      </c>
      <c r="C135" s="11"/>
      <c r="D135" s="7">
        <v>2042.44</v>
      </c>
      <c r="E135" s="2"/>
      <c r="F135" s="6">
        <f t="shared" si="24"/>
        <v>1.0069209670767843E-2</v>
      </c>
      <c r="G135" s="2"/>
      <c r="H135" s="7">
        <v>0</v>
      </c>
      <c r="I135" s="2"/>
      <c r="J135" s="6">
        <f t="shared" si="25"/>
        <v>0</v>
      </c>
      <c r="K135" s="2"/>
      <c r="L135" s="7">
        <f t="shared" si="26"/>
        <v>2042.44</v>
      </c>
      <c r="M135" s="2"/>
      <c r="N135" s="6">
        <f t="shared" si="27"/>
        <v>0</v>
      </c>
      <c r="O135" s="11"/>
      <c r="P135" s="7">
        <v>12030.4</v>
      </c>
      <c r="Q135" s="2"/>
      <c r="R135" s="6">
        <f t="shared" si="28"/>
        <v>2.9484261630824851E-3</v>
      </c>
      <c r="S135" s="2"/>
      <c r="T135" s="7">
        <v>0</v>
      </c>
      <c r="U135" s="2"/>
      <c r="V135" s="6">
        <f t="shared" si="29"/>
        <v>0</v>
      </c>
      <c r="W135" s="2"/>
      <c r="X135" s="7">
        <f t="shared" si="30"/>
        <v>12030.4</v>
      </c>
      <c r="Y135" s="2"/>
      <c r="Z135" s="6">
        <f t="shared" si="31"/>
        <v>0</v>
      </c>
    </row>
    <row r="136" spans="1:26" s="24" customFormat="1" hidden="1" outlineLevel="2" x14ac:dyDescent="0.25">
      <c r="A136" s="27"/>
      <c r="B136" s="11" t="str">
        <f>CONCATENATE("          ", "6007", " - ", "STUDENT HOURLY")</f>
        <v xml:space="preserve">          6007 - STUDENT HOURLY</v>
      </c>
      <c r="C136" s="11"/>
      <c r="D136" s="7">
        <v>16114.230000000001</v>
      </c>
      <c r="E136" s="2"/>
      <c r="F136" s="6">
        <f t="shared" si="24"/>
        <v>7.9442999820301841E-2</v>
      </c>
      <c r="G136" s="2"/>
      <c r="H136" s="7">
        <v>0</v>
      </c>
      <c r="I136" s="2"/>
      <c r="J136" s="6">
        <f t="shared" si="25"/>
        <v>0</v>
      </c>
      <c r="K136" s="2"/>
      <c r="L136" s="7">
        <f t="shared" si="26"/>
        <v>16114.230000000001</v>
      </c>
      <c r="M136" s="2"/>
      <c r="N136" s="6">
        <f t="shared" si="27"/>
        <v>0</v>
      </c>
      <c r="O136" s="11"/>
      <c r="P136" s="7">
        <v>229803.59999999998</v>
      </c>
      <c r="Q136" s="2"/>
      <c r="R136" s="6">
        <f t="shared" si="28"/>
        <v>5.6320566781698209E-2</v>
      </c>
      <c r="S136" s="2"/>
      <c r="T136" s="7">
        <v>151898.36249999999</v>
      </c>
      <c r="U136" s="2"/>
      <c r="V136" s="6">
        <f t="shared" si="29"/>
        <v>2.0788695549350963E-2</v>
      </c>
      <c r="W136" s="2"/>
      <c r="X136" s="7">
        <f t="shared" si="30"/>
        <v>77905.237499999988</v>
      </c>
      <c r="Y136" s="2"/>
      <c r="Z136" s="6">
        <f t="shared" si="31"/>
        <v>0.51287740182189256</v>
      </c>
    </row>
    <row r="137" spans="1:26" s="24" customFormat="1" hidden="1" outlineLevel="2" x14ac:dyDescent="0.25">
      <c r="A137" s="27"/>
      <c r="B137" s="11" t="str">
        <f>CONCATENATE("          ", "6008", " - ", "STUDENT HOURLY-FICA EXEMPT")</f>
        <v xml:space="preserve">          6008 - STUDENT HOURLY-FICA EXEMPT</v>
      </c>
      <c r="C137" s="11"/>
      <c r="D137" s="7">
        <v>1123.92</v>
      </c>
      <c r="E137" s="2"/>
      <c r="F137" s="6">
        <f t="shared" si="24"/>
        <v>5.5409148533956416E-3</v>
      </c>
      <c r="G137" s="2"/>
      <c r="H137" s="7">
        <v>76656.552499999991</v>
      </c>
      <c r="I137" s="2"/>
      <c r="J137" s="6">
        <f t="shared" si="25"/>
        <v>0.11528688037658665</v>
      </c>
      <c r="K137" s="2"/>
      <c r="L137" s="7">
        <f t="shared" si="26"/>
        <v>-75532.632499999992</v>
      </c>
      <c r="M137" s="2"/>
      <c r="N137" s="6">
        <f t="shared" si="27"/>
        <v>-0.98533823967624945</v>
      </c>
      <c r="O137" s="11"/>
      <c r="P137" s="7">
        <v>7299.25</v>
      </c>
      <c r="Q137" s="2"/>
      <c r="R137" s="6">
        <f t="shared" si="28"/>
        <v>1.7889097345790521E-3</v>
      </c>
      <c r="S137" s="2"/>
      <c r="T137" s="7">
        <v>510813.97625000001</v>
      </c>
      <c r="U137" s="2"/>
      <c r="V137" s="6">
        <f t="shared" si="29"/>
        <v>6.9909616271305389E-2</v>
      </c>
      <c r="W137" s="2"/>
      <c r="X137" s="7">
        <f t="shared" si="30"/>
        <v>-503514.72625000001</v>
      </c>
      <c r="Y137" s="2"/>
      <c r="Z137" s="6">
        <f t="shared" si="31"/>
        <v>-0.98571055151312537</v>
      </c>
    </row>
    <row r="138" spans="1:26" s="24" customFormat="1" hidden="1" outlineLevel="2" x14ac:dyDescent="0.25">
      <c r="A138" s="27"/>
      <c r="B138" s="11" t="str">
        <f>CONCATENATE("          ", "6009", " - ", "TEMPORARY-SEASONAL")</f>
        <v xml:space="preserve">          6009 - TEMPORARY-SEASONAL</v>
      </c>
      <c r="C138" s="11"/>
      <c r="D138" s="7"/>
      <c r="E138" s="2"/>
      <c r="F138" s="6">
        <f t="shared" si="24"/>
        <v>0</v>
      </c>
      <c r="G138" s="2"/>
      <c r="H138" s="7">
        <v>0</v>
      </c>
      <c r="I138" s="2"/>
      <c r="J138" s="6">
        <f t="shared" si="25"/>
        <v>0</v>
      </c>
      <c r="K138" s="2"/>
      <c r="L138" s="7">
        <f t="shared" si="26"/>
        <v>0</v>
      </c>
      <c r="M138" s="2"/>
      <c r="N138" s="6">
        <f t="shared" si="27"/>
        <v>0</v>
      </c>
      <c r="O138" s="11"/>
      <c r="P138" s="7"/>
      <c r="Q138" s="2"/>
      <c r="R138" s="6">
        <f t="shared" si="28"/>
        <v>0</v>
      </c>
      <c r="S138" s="2"/>
      <c r="T138" s="7">
        <v>0</v>
      </c>
      <c r="U138" s="2"/>
      <c r="V138" s="6">
        <f t="shared" si="29"/>
        <v>0</v>
      </c>
      <c r="W138" s="2"/>
      <c r="X138" s="7">
        <f t="shared" si="30"/>
        <v>0</v>
      </c>
      <c r="Y138" s="2"/>
      <c r="Z138" s="6">
        <f t="shared" si="31"/>
        <v>0</v>
      </c>
    </row>
    <row r="139" spans="1:26" s="24" customFormat="1" hidden="1" outlineLevel="2" x14ac:dyDescent="0.25">
      <c r="A139" s="27"/>
      <c r="B139" s="11" t="str">
        <f>CONCATENATE("          ", "6010", " - ", "GRATUITY")</f>
        <v xml:space="preserve">          6010 - GRATUITY</v>
      </c>
      <c r="C139" s="11"/>
      <c r="D139" s="7"/>
      <c r="E139" s="2"/>
      <c r="F139" s="6">
        <f t="shared" si="24"/>
        <v>0</v>
      </c>
      <c r="G139" s="2"/>
      <c r="H139" s="7">
        <v>0</v>
      </c>
      <c r="I139" s="2"/>
      <c r="J139" s="6">
        <f t="shared" si="25"/>
        <v>0</v>
      </c>
      <c r="K139" s="2"/>
      <c r="L139" s="7">
        <f t="shared" si="26"/>
        <v>0</v>
      </c>
      <c r="M139" s="2"/>
      <c r="N139" s="6">
        <f t="shared" si="27"/>
        <v>0</v>
      </c>
      <c r="O139" s="11"/>
      <c r="P139" s="7"/>
      <c r="Q139" s="2"/>
      <c r="R139" s="6">
        <f t="shared" si="28"/>
        <v>0</v>
      </c>
      <c r="S139" s="2"/>
      <c r="T139" s="7">
        <v>0</v>
      </c>
      <c r="U139" s="2"/>
      <c r="V139" s="6">
        <f t="shared" si="29"/>
        <v>0</v>
      </c>
      <c r="W139" s="2"/>
      <c r="X139" s="7">
        <f t="shared" si="30"/>
        <v>0</v>
      </c>
      <c r="Y139" s="2"/>
      <c r="Z139" s="6">
        <f t="shared" si="31"/>
        <v>0</v>
      </c>
    </row>
    <row r="140" spans="1:26" s="28" customFormat="1" outlineLevel="1" collapsed="1" x14ac:dyDescent="0.25">
      <c r="A140" s="29"/>
      <c r="B140" s="14" t="str">
        <f>CONCATENATE("     ","Advertising/Promo                                 ")</f>
        <v xml:space="preserve">     Advertising/Promo                                 </v>
      </c>
      <c r="C140" s="14"/>
      <c r="D140" s="1">
        <f>SUM(OSRRefD22_2x_0)</f>
        <v>114.65</v>
      </c>
      <c r="E140" s="1"/>
      <c r="F140" s="5">
        <f t="shared" ref="F140:F144" si="32">IF(D$12=0,0,D140/D$12)</f>
        <v>5.6522340374920844E-4</v>
      </c>
      <c r="G140" s="1"/>
      <c r="H140" s="1">
        <f>SUM(OSRRefH22_2x_0)</f>
        <v>880</v>
      </c>
      <c r="I140" s="1"/>
      <c r="J140" s="5">
        <f t="shared" ref="J140:J144" si="33">IF(H$12=0,0,H140/H$12)</f>
        <v>1.3234674848102027E-3</v>
      </c>
      <c r="K140" s="1"/>
      <c r="L140" s="1">
        <f t="shared" ref="L140:L144" si="34">+D140-H140</f>
        <v>-765.35</v>
      </c>
      <c r="M140" s="1"/>
      <c r="N140" s="5">
        <f t="shared" ref="N140:N144" si="35">IF(H140=0,0,L140/H140)</f>
        <v>-0.86971590909090912</v>
      </c>
      <c r="O140" s="14"/>
      <c r="P140" s="1">
        <f>SUM(OSRRefP22_2x_0)</f>
        <v>16148.79</v>
      </c>
      <c r="Q140" s="1"/>
      <c r="R140" s="5">
        <f t="shared" ref="R140:R144" si="36">IF(P$12=0,0,P140/P$12)</f>
        <v>3.9577665695342467E-3</v>
      </c>
      <c r="S140" s="1"/>
      <c r="T140" s="1">
        <f>SUM(OSRRefT22_2x_0)</f>
        <v>9340</v>
      </c>
      <c r="U140" s="1"/>
      <c r="V140" s="5">
        <f t="shared" ref="V140:V144" si="37">IF(T$12=0,0,T140/T$12)</f>
        <v>1.2782653692592508E-3</v>
      </c>
      <c r="W140" s="1"/>
      <c r="X140" s="1">
        <f t="shared" ref="X140:X144" si="38">+P140-T140</f>
        <v>6808.7900000000009</v>
      </c>
      <c r="Y140" s="1"/>
      <c r="Z140" s="5">
        <f t="shared" ref="Z140:Z144" si="39">IF(T140=0,0,X140/T140)</f>
        <v>0.72899250535331916</v>
      </c>
    </row>
    <row r="141" spans="1:26" s="24" customFormat="1" hidden="1" outlineLevel="2" x14ac:dyDescent="0.25">
      <c r="A141" s="27"/>
      <c r="B141" s="11" t="str">
        <f>CONCATENATE("          ", "6362", " - ", "ADVERTISING EXPENSE")</f>
        <v xml:space="preserve">          6362 - ADVERTISING EXPENSE</v>
      </c>
      <c r="C141" s="11"/>
      <c r="D141" s="7">
        <v>114.65</v>
      </c>
      <c r="E141" s="2"/>
      <c r="F141" s="6">
        <f t="shared" si="32"/>
        <v>5.6522340374920844E-4</v>
      </c>
      <c r="G141" s="2"/>
      <c r="H141" s="7">
        <v>880</v>
      </c>
      <c r="I141" s="2"/>
      <c r="J141" s="6">
        <f t="shared" si="33"/>
        <v>1.3234674848102027E-3</v>
      </c>
      <c r="K141" s="2"/>
      <c r="L141" s="7">
        <f t="shared" si="34"/>
        <v>-765.35</v>
      </c>
      <c r="M141" s="2"/>
      <c r="N141" s="6">
        <f t="shared" si="35"/>
        <v>-0.86971590909090912</v>
      </c>
      <c r="O141" s="11"/>
      <c r="P141" s="7">
        <v>16148.79</v>
      </c>
      <c r="Q141" s="2"/>
      <c r="R141" s="6">
        <f t="shared" si="36"/>
        <v>3.9577665695342467E-3</v>
      </c>
      <c r="S141" s="2"/>
      <c r="T141" s="7">
        <v>9340</v>
      </c>
      <c r="U141" s="2"/>
      <c r="V141" s="6">
        <f t="shared" si="37"/>
        <v>1.2782653692592508E-3</v>
      </c>
      <c r="W141" s="2"/>
      <c r="X141" s="7">
        <f t="shared" si="38"/>
        <v>6808.7900000000009</v>
      </c>
      <c r="Y141" s="2"/>
      <c r="Z141" s="6">
        <f t="shared" si="39"/>
        <v>0.72899250535331916</v>
      </c>
    </row>
    <row r="142" spans="1:26" s="28" customFormat="1" outlineLevel="1" collapsed="1" x14ac:dyDescent="0.25">
      <c r="A142" s="29"/>
      <c r="B142" s="14" t="str">
        <f>CONCATENATE("     ","Bad Debts/Over/Short                              ")</f>
        <v xml:space="preserve">     Bad Debts/Over/Short                              </v>
      </c>
      <c r="C142" s="14"/>
      <c r="D142" s="1">
        <f>SUM(OSRRefD22_3x_0)</f>
        <v>3282.4</v>
      </c>
      <c r="E142" s="1"/>
      <c r="F142" s="5">
        <f t="shared" si="32"/>
        <v>1.6182200614621906E-2</v>
      </c>
      <c r="G142" s="1"/>
      <c r="H142" s="1">
        <f>SUM(OSRRefH22_3x_0)</f>
        <v>110</v>
      </c>
      <c r="I142" s="1"/>
      <c r="J142" s="5">
        <f t="shared" si="33"/>
        <v>1.6543343560127533E-4</v>
      </c>
      <c r="K142" s="1"/>
      <c r="L142" s="1">
        <f t="shared" si="34"/>
        <v>3172.4</v>
      </c>
      <c r="M142" s="1"/>
      <c r="N142" s="5">
        <f t="shared" si="35"/>
        <v>28.84</v>
      </c>
      <c r="O142" s="14"/>
      <c r="P142" s="1">
        <f>SUM(OSRRefP22_3x_0)</f>
        <v>5200.46</v>
      </c>
      <c r="Q142" s="1"/>
      <c r="R142" s="5">
        <f t="shared" si="36"/>
        <v>1.2745355369783167E-3</v>
      </c>
      <c r="S142" s="1"/>
      <c r="T142" s="1">
        <f>SUM(OSRRefT22_3x_0)</f>
        <v>880</v>
      </c>
      <c r="U142" s="1"/>
      <c r="V142" s="5">
        <f t="shared" si="37"/>
        <v>1.2043613757474739E-4</v>
      </c>
      <c r="W142" s="1"/>
      <c r="X142" s="1">
        <f t="shared" si="38"/>
        <v>4320.46</v>
      </c>
      <c r="Y142" s="1"/>
      <c r="Z142" s="5">
        <f t="shared" si="39"/>
        <v>4.9096136363636367</v>
      </c>
    </row>
    <row r="143" spans="1:26" s="24" customFormat="1" hidden="1" outlineLevel="2" x14ac:dyDescent="0.25">
      <c r="A143" s="27"/>
      <c r="B143" s="11" t="str">
        <f>CONCATENATE("          ", "6272", " - ", "CASH (OVER/SHORT)")</f>
        <v xml:space="preserve">          6272 - CASH (OVER/SHORT)</v>
      </c>
      <c r="C143" s="11"/>
      <c r="D143" s="7">
        <v>-70.239999999999995</v>
      </c>
      <c r="E143" s="2"/>
      <c r="F143" s="6">
        <f t="shared" si="32"/>
        <v>-3.4628252838503614E-4</v>
      </c>
      <c r="G143" s="2"/>
      <c r="H143" s="7">
        <v>60</v>
      </c>
      <c r="I143" s="2"/>
      <c r="J143" s="6">
        <f t="shared" si="33"/>
        <v>9.0236419418877458E-5</v>
      </c>
      <c r="K143" s="2"/>
      <c r="L143" s="7">
        <f t="shared" si="34"/>
        <v>-130.24</v>
      </c>
      <c r="M143" s="2"/>
      <c r="N143" s="6">
        <f t="shared" si="35"/>
        <v>-2.170666666666667</v>
      </c>
      <c r="O143" s="11"/>
      <c r="P143" s="7">
        <v>-148.96</v>
      </c>
      <c r="Q143" s="2"/>
      <c r="R143" s="6">
        <f t="shared" si="36"/>
        <v>-3.6507311581723551E-5</v>
      </c>
      <c r="S143" s="2"/>
      <c r="T143" s="7">
        <v>480</v>
      </c>
      <c r="U143" s="2"/>
      <c r="V143" s="6">
        <f t="shared" si="37"/>
        <v>6.5692438677134935E-5</v>
      </c>
      <c r="W143" s="2"/>
      <c r="X143" s="7">
        <f t="shared" si="38"/>
        <v>-628.96</v>
      </c>
      <c r="Y143" s="2"/>
      <c r="Z143" s="6">
        <f t="shared" si="39"/>
        <v>-1.3103333333333333</v>
      </c>
    </row>
    <row r="144" spans="1:26" s="24" customFormat="1" hidden="1" outlineLevel="2" x14ac:dyDescent="0.25">
      <c r="A144" s="27"/>
      <c r="B144" s="11" t="str">
        <f>CONCATENATE("          ", "6342", " - ", "BAD DEBT")</f>
        <v xml:space="preserve">          6342 - BAD DEBT</v>
      </c>
      <c r="C144" s="11"/>
      <c r="D144" s="7">
        <v>3352.64</v>
      </c>
      <c r="E144" s="2"/>
      <c r="F144" s="6">
        <f t="shared" si="32"/>
        <v>1.6528483143006943E-2</v>
      </c>
      <c r="G144" s="2"/>
      <c r="H144" s="7">
        <v>50</v>
      </c>
      <c r="I144" s="2"/>
      <c r="J144" s="6">
        <f t="shared" si="33"/>
        <v>7.5197016182397888E-5</v>
      </c>
      <c r="K144" s="2"/>
      <c r="L144" s="7">
        <f t="shared" si="34"/>
        <v>3302.64</v>
      </c>
      <c r="M144" s="2"/>
      <c r="N144" s="6">
        <f t="shared" si="35"/>
        <v>66.052799999999991</v>
      </c>
      <c r="O144" s="11"/>
      <c r="P144" s="7">
        <v>5349.42</v>
      </c>
      <c r="Q144" s="2"/>
      <c r="R144" s="6">
        <f t="shared" si="36"/>
        <v>1.3110428485600403E-3</v>
      </c>
      <c r="S144" s="2"/>
      <c r="T144" s="7">
        <v>400</v>
      </c>
      <c r="U144" s="2"/>
      <c r="V144" s="6">
        <f t="shared" si="37"/>
        <v>5.4743698897612453E-5</v>
      </c>
      <c r="W144" s="2"/>
      <c r="X144" s="7">
        <f t="shared" si="38"/>
        <v>4949.42</v>
      </c>
      <c r="Y144" s="2"/>
      <c r="Z144" s="6">
        <f t="shared" si="39"/>
        <v>12.37355</v>
      </c>
    </row>
    <row r="145" spans="1:26" s="28" customFormat="1" outlineLevel="1" collapsed="1" x14ac:dyDescent="0.25">
      <c r="A145" s="29"/>
      <c r="B145" s="14" t="str">
        <f>CONCATENATE("     ","Bank/card Fees                                    ")</f>
        <v xml:space="preserve">     Bank/card Fees                                    </v>
      </c>
      <c r="C145" s="14"/>
      <c r="D145" s="1">
        <f>SUM(OSRRefD22_4x_0)</f>
        <v>3756.42</v>
      </c>
      <c r="E145" s="1"/>
      <c r="F145" s="5">
        <f t="shared" ref="F145:F149" si="40">IF(D$12=0,0,D145/D$12)</f>
        <v>1.8519114682177071E-2</v>
      </c>
      <c r="G145" s="1"/>
      <c r="H145" s="1">
        <f>SUM(OSRRefH22_4x_0)</f>
        <v>14780</v>
      </c>
      <c r="I145" s="1"/>
      <c r="J145" s="5">
        <f t="shared" ref="J145:J149" si="41">IF(H$12=0,0,H145/H$12)</f>
        <v>2.2228237983516815E-2</v>
      </c>
      <c r="K145" s="1"/>
      <c r="L145" s="1">
        <f t="shared" ref="L145:L149" si="42">+D145-H145</f>
        <v>-11023.58</v>
      </c>
      <c r="M145" s="1"/>
      <c r="N145" s="5">
        <f t="shared" ref="N145:N149" si="43">IF(H145=0,0,L145/H145)</f>
        <v>-0.74584438430311228</v>
      </c>
      <c r="O145" s="14"/>
      <c r="P145" s="1">
        <f>SUM(OSRRefP22_4x_0)</f>
        <v>65501.080000000009</v>
      </c>
      <c r="Q145" s="1"/>
      <c r="R145" s="5">
        <f t="shared" ref="R145:R149" si="44">IF(P$12=0,0,P145/P$12)</f>
        <v>1.6053090336327881E-2</v>
      </c>
      <c r="S145" s="1"/>
      <c r="T145" s="1">
        <f>SUM(OSRRefT22_4x_0)</f>
        <v>152358</v>
      </c>
      <c r="U145" s="1"/>
      <c r="V145" s="5">
        <f t="shared" ref="V145:V149" si="45">IF(T$12=0,0,T145/T$12)</f>
        <v>2.0851601191606093E-2</v>
      </c>
      <c r="W145" s="1"/>
      <c r="X145" s="1">
        <f t="shared" ref="X145:X149" si="46">+P145-T145</f>
        <v>-86856.919999999984</v>
      </c>
      <c r="Y145" s="1"/>
      <c r="Z145" s="5">
        <f t="shared" ref="Z145:Z149" si="47">IF(T145=0,0,X145/T145)</f>
        <v>-0.57008440646372349</v>
      </c>
    </row>
    <row r="146" spans="1:26" s="24" customFormat="1" hidden="1" outlineLevel="2" x14ac:dyDescent="0.25">
      <c r="A146" s="27"/>
      <c r="B146" s="11" t="str">
        <f>CONCATENATE("          ", "6381", " - ", "BANK/CREDIT CARD FEES")</f>
        <v xml:space="preserve">          6381 - BANK/CREDIT CARD FEES</v>
      </c>
      <c r="C146" s="11"/>
      <c r="D146" s="7">
        <v>3756.42</v>
      </c>
      <c r="E146" s="2"/>
      <c r="F146" s="6">
        <f t="shared" si="40"/>
        <v>1.8519114682177071E-2</v>
      </c>
      <c r="G146" s="2"/>
      <c r="H146" s="7">
        <v>14780</v>
      </c>
      <c r="I146" s="2"/>
      <c r="J146" s="6">
        <f t="shared" si="41"/>
        <v>2.2228237983516815E-2</v>
      </c>
      <c r="K146" s="2"/>
      <c r="L146" s="7">
        <f t="shared" si="42"/>
        <v>-11023.58</v>
      </c>
      <c r="M146" s="2"/>
      <c r="N146" s="6">
        <f t="shared" si="43"/>
        <v>-0.74584438430311228</v>
      </c>
      <c r="O146" s="11"/>
      <c r="P146" s="7">
        <v>65501.080000000009</v>
      </c>
      <c r="Q146" s="2"/>
      <c r="R146" s="6">
        <f t="shared" si="44"/>
        <v>1.6053090336327881E-2</v>
      </c>
      <c r="S146" s="2"/>
      <c r="T146" s="7">
        <v>152358</v>
      </c>
      <c r="U146" s="2"/>
      <c r="V146" s="6">
        <f t="shared" si="45"/>
        <v>2.0851601191606093E-2</v>
      </c>
      <c r="W146" s="2"/>
      <c r="X146" s="7">
        <f t="shared" si="46"/>
        <v>-86856.919999999984</v>
      </c>
      <c r="Y146" s="2"/>
      <c r="Z146" s="6">
        <f t="shared" si="47"/>
        <v>-0.57008440646372349</v>
      </c>
    </row>
    <row r="147" spans="1:26" s="28" customFormat="1" outlineLevel="1" collapsed="1" x14ac:dyDescent="0.25">
      <c r="A147" s="29"/>
      <c r="B147" s="14" t="str">
        <f>CONCATENATE("     ","Depreciation                                      ")</f>
        <v xml:space="preserve">     Depreciation                                      </v>
      </c>
      <c r="C147" s="14"/>
      <c r="D147" s="1">
        <f>SUM(OSRRefD22_5x_0)</f>
        <v>30735.85</v>
      </c>
      <c r="E147" s="1"/>
      <c r="F147" s="5">
        <f t="shared" si="40"/>
        <v>0.15152744661251727</v>
      </c>
      <c r="G147" s="1"/>
      <c r="H147" s="1">
        <f>SUM(OSRRefH22_5x_0)</f>
        <v>30294</v>
      </c>
      <c r="I147" s="1"/>
      <c r="J147" s="5">
        <f t="shared" si="41"/>
        <v>4.5560368164591226E-2</v>
      </c>
      <c r="K147" s="1"/>
      <c r="L147" s="1">
        <f t="shared" si="42"/>
        <v>441.84999999999854</v>
      </c>
      <c r="M147" s="1"/>
      <c r="N147" s="5">
        <f t="shared" si="43"/>
        <v>1.4585396448141498E-2</v>
      </c>
      <c r="O147" s="14"/>
      <c r="P147" s="1">
        <f>SUM(OSRRefP22_5x_0)</f>
        <v>246182.29</v>
      </c>
      <c r="Q147" s="1"/>
      <c r="R147" s="5">
        <f t="shared" si="44"/>
        <v>6.033467754385221E-2</v>
      </c>
      <c r="S147" s="1"/>
      <c r="T147" s="1">
        <f>SUM(OSRRefT22_5x_0)</f>
        <v>243360</v>
      </c>
      <c r="U147" s="1"/>
      <c r="V147" s="5">
        <f t="shared" si="45"/>
        <v>3.3306066409307417E-2</v>
      </c>
      <c r="W147" s="1"/>
      <c r="X147" s="1">
        <f t="shared" si="46"/>
        <v>2822.2900000000081</v>
      </c>
      <c r="Y147" s="1"/>
      <c r="Z147" s="5">
        <f t="shared" si="47"/>
        <v>1.1597181130835011E-2</v>
      </c>
    </row>
    <row r="148" spans="1:26" s="24" customFormat="1" hidden="1" outlineLevel="2" x14ac:dyDescent="0.25">
      <c r="A148" s="27"/>
      <c r="B148" s="11" t="str">
        <f>CONCATENATE("          ", "6321", " - ", "BUILDING DEPRECIATION")</f>
        <v xml:space="preserve">          6321 - BUILDING DEPRECIATION</v>
      </c>
      <c r="C148" s="11"/>
      <c r="D148" s="7">
        <v>16396.52</v>
      </c>
      <c r="E148" s="2"/>
      <c r="F148" s="6">
        <f t="shared" si="40"/>
        <v>8.0834686821124907E-2</v>
      </c>
      <c r="G148" s="2"/>
      <c r="H148" s="7"/>
      <c r="I148" s="2"/>
      <c r="J148" s="6">
        <f t="shared" si="41"/>
        <v>0</v>
      </c>
      <c r="K148" s="2"/>
      <c r="L148" s="7">
        <f t="shared" si="42"/>
        <v>16396.52</v>
      </c>
      <c r="M148" s="2"/>
      <c r="N148" s="6">
        <f t="shared" si="43"/>
        <v>0</v>
      </c>
      <c r="O148" s="11"/>
      <c r="P148" s="7">
        <v>131172.16</v>
      </c>
      <c r="Q148" s="2"/>
      <c r="R148" s="6">
        <f t="shared" si="44"/>
        <v>3.2147844494949611E-2</v>
      </c>
      <c r="S148" s="2"/>
      <c r="T148" s="7"/>
      <c r="U148" s="2"/>
      <c r="V148" s="6">
        <f t="shared" si="45"/>
        <v>0</v>
      </c>
      <c r="W148" s="2"/>
      <c r="X148" s="7">
        <f t="shared" si="46"/>
        <v>131172.16</v>
      </c>
      <c r="Y148" s="2"/>
      <c r="Z148" s="6">
        <f t="shared" si="47"/>
        <v>0</v>
      </c>
    </row>
    <row r="149" spans="1:26" s="24" customFormat="1" hidden="1" outlineLevel="2" x14ac:dyDescent="0.25">
      <c r="A149" s="27"/>
      <c r="B149" s="11" t="str">
        <f>CONCATENATE("          ", "6322", " - ", "EQUIPMENT DEPRECIATION EXPENSE")</f>
        <v xml:space="preserve">          6322 - EQUIPMENT DEPRECIATION EXPENSE</v>
      </c>
      <c r="C149" s="11"/>
      <c r="D149" s="7">
        <v>14339.33</v>
      </c>
      <c r="E149" s="2"/>
      <c r="F149" s="6">
        <f t="shared" si="40"/>
        <v>7.0692759791392376E-2</v>
      </c>
      <c r="G149" s="2"/>
      <c r="H149" s="7">
        <v>30294</v>
      </c>
      <c r="I149" s="2"/>
      <c r="J149" s="6">
        <f t="shared" si="41"/>
        <v>4.5560368164591226E-2</v>
      </c>
      <c r="K149" s="2"/>
      <c r="L149" s="7">
        <f t="shared" si="42"/>
        <v>-15954.67</v>
      </c>
      <c r="M149" s="2"/>
      <c r="N149" s="6">
        <f t="shared" si="43"/>
        <v>-0.52666105499438831</v>
      </c>
      <c r="O149" s="11"/>
      <c r="P149" s="7">
        <v>115010.13</v>
      </c>
      <c r="Q149" s="2"/>
      <c r="R149" s="6">
        <f t="shared" si="44"/>
        <v>2.8186833048902599E-2</v>
      </c>
      <c r="S149" s="2"/>
      <c r="T149" s="7">
        <v>243360</v>
      </c>
      <c r="U149" s="2"/>
      <c r="V149" s="6">
        <f t="shared" si="45"/>
        <v>3.3306066409307417E-2</v>
      </c>
      <c r="W149" s="2"/>
      <c r="X149" s="7">
        <f t="shared" si="46"/>
        <v>-128349.87</v>
      </c>
      <c r="Y149" s="2"/>
      <c r="Z149" s="6">
        <f t="shared" si="47"/>
        <v>-0.52740742110453642</v>
      </c>
    </row>
    <row r="150" spans="1:26" s="28" customFormat="1" outlineLevel="1" collapsed="1" x14ac:dyDescent="0.25">
      <c r="A150" s="29"/>
      <c r="B150" s="14" t="str">
        <f>CONCATENATE("     ","Discounts and Markdowns                           ")</f>
        <v xml:space="preserve">     Discounts and Markdowns                           </v>
      </c>
      <c r="C150" s="14"/>
      <c r="D150" s="1">
        <f>SUM(OSRRefD22_6x_0)</f>
        <v>42.86</v>
      </c>
      <c r="E150" s="1"/>
      <c r="F150" s="5">
        <f t="shared" ref="F150:F152" si="48">IF(D$12=0,0,D150/D$12)</f>
        <v>2.1129939018483271E-4</v>
      </c>
      <c r="G150" s="1"/>
      <c r="H150" s="1">
        <f>SUM(OSRRefH22_6x_0)</f>
        <v>33027</v>
      </c>
      <c r="I150" s="1"/>
      <c r="J150" s="5">
        <f t="shared" ref="J150:J152" si="49">IF(H$12=0,0,H150/H$12)</f>
        <v>4.9670637069121094E-2</v>
      </c>
      <c r="K150" s="1"/>
      <c r="L150" s="1">
        <f t="shared" ref="L150:L152" si="50">+D150-H150</f>
        <v>-32984.14</v>
      </c>
      <c r="M150" s="1"/>
      <c r="N150" s="5">
        <f t="shared" ref="N150:N152" si="51">IF(H150=0,0,L150/H150)</f>
        <v>-0.99870227389711441</v>
      </c>
      <c r="O150" s="14"/>
      <c r="P150" s="1">
        <f>SUM(OSRRefP22_6x_0)</f>
        <v>0</v>
      </c>
      <c r="Q150" s="1"/>
      <c r="R150" s="5">
        <f t="shared" ref="R150:R152" si="52">IF(P$12=0,0,P150/P$12)</f>
        <v>0</v>
      </c>
      <c r="S150" s="1"/>
      <c r="T150" s="1">
        <f>SUM(OSRRefT22_6x_0)</f>
        <v>219858</v>
      </c>
      <c r="U150" s="1"/>
      <c r="V150" s="5">
        <f t="shared" ref="V150:V152" si="53">IF(T$12=0,0,T150/T$12)</f>
        <v>3.0089600380578195E-2</v>
      </c>
      <c r="W150" s="1"/>
      <c r="X150" s="1">
        <f t="shared" ref="X150:X152" si="54">+P150-T150</f>
        <v>-219858</v>
      </c>
      <c r="Y150" s="1"/>
      <c r="Z150" s="5">
        <f t="shared" ref="Z150:Z152" si="55">IF(T150=0,0,X150/T150)</f>
        <v>-1</v>
      </c>
    </row>
    <row r="151" spans="1:26" s="24" customFormat="1" hidden="1" outlineLevel="2" x14ac:dyDescent="0.25">
      <c r="A151" s="27"/>
      <c r="B151" s="11" t="str">
        <f>CONCATENATE("          ", "6382", " - ", "DISCOUNTS/MARK DOWNS")</f>
        <v xml:space="preserve">          6382 - DISCOUNTS/MARK DOWNS</v>
      </c>
      <c r="C151" s="11"/>
      <c r="D151" s="7"/>
      <c r="E151" s="2"/>
      <c r="F151" s="6">
        <f t="shared" si="48"/>
        <v>0</v>
      </c>
      <c r="G151" s="2"/>
      <c r="H151" s="7">
        <v>33027</v>
      </c>
      <c r="I151" s="2"/>
      <c r="J151" s="6">
        <f t="shared" si="49"/>
        <v>4.9670637069121094E-2</v>
      </c>
      <c r="K151" s="2"/>
      <c r="L151" s="7">
        <f t="shared" si="50"/>
        <v>-33027</v>
      </c>
      <c r="M151" s="2"/>
      <c r="N151" s="6">
        <f t="shared" si="51"/>
        <v>-1</v>
      </c>
      <c r="O151" s="11"/>
      <c r="P151" s="7">
        <v>0</v>
      </c>
      <c r="Q151" s="2"/>
      <c r="R151" s="6">
        <f t="shared" si="52"/>
        <v>0</v>
      </c>
      <c r="S151" s="2"/>
      <c r="T151" s="7">
        <v>219858</v>
      </c>
      <c r="U151" s="2"/>
      <c r="V151" s="6">
        <f t="shared" si="53"/>
        <v>3.0089600380578195E-2</v>
      </c>
      <c r="W151" s="2"/>
      <c r="X151" s="7">
        <f t="shared" si="54"/>
        <v>-219858</v>
      </c>
      <c r="Y151" s="2"/>
      <c r="Z151" s="6">
        <f t="shared" si="55"/>
        <v>-1</v>
      </c>
    </row>
    <row r="152" spans="1:26" s="24" customFormat="1" hidden="1" outlineLevel="2" x14ac:dyDescent="0.25">
      <c r="A152" s="27"/>
      <c r="B152" s="11" t="str">
        <f>CONCATENATE("          ", "9175", " - ", "EARNED DISCOUNTS")</f>
        <v xml:space="preserve">          9175 - EARNED DISCOUNTS</v>
      </c>
      <c r="C152" s="11"/>
      <c r="D152" s="7">
        <v>42.86</v>
      </c>
      <c r="E152" s="2"/>
      <c r="F152" s="6">
        <f t="shared" si="48"/>
        <v>2.1129939018483271E-4</v>
      </c>
      <c r="G152" s="2"/>
      <c r="H152" s="7"/>
      <c r="I152" s="2"/>
      <c r="J152" s="6">
        <f t="shared" si="49"/>
        <v>0</v>
      </c>
      <c r="K152" s="2"/>
      <c r="L152" s="7">
        <f t="shared" si="50"/>
        <v>42.86</v>
      </c>
      <c r="M152" s="2"/>
      <c r="N152" s="6">
        <f t="shared" si="51"/>
        <v>0</v>
      </c>
      <c r="O152" s="11"/>
      <c r="P152" s="7">
        <v>0</v>
      </c>
      <c r="Q152" s="2"/>
      <c r="R152" s="6">
        <f t="shared" si="52"/>
        <v>0</v>
      </c>
      <c r="S152" s="2"/>
      <c r="T152" s="7"/>
      <c r="U152" s="2"/>
      <c r="V152" s="6">
        <f t="shared" si="53"/>
        <v>0</v>
      </c>
      <c r="W152" s="2"/>
      <c r="X152" s="7">
        <f t="shared" si="54"/>
        <v>0</v>
      </c>
      <c r="Y152" s="2"/>
      <c r="Z152" s="6">
        <f t="shared" si="55"/>
        <v>0</v>
      </c>
    </row>
    <row r="153" spans="1:26" s="28" customFormat="1" outlineLevel="1" collapsed="1" x14ac:dyDescent="0.25">
      <c r="A153" s="29"/>
      <c r="B153" s="14" t="str">
        <f>CONCATENATE("     ","Donations                                         ")</f>
        <v xml:space="preserve">     Donations                                         </v>
      </c>
      <c r="C153" s="14"/>
      <c r="D153" s="1">
        <f>SUM(OSRRefD22_7x_0)</f>
        <v>0</v>
      </c>
      <c r="E153" s="1"/>
      <c r="F153" s="5">
        <f t="shared" ref="F153:F155" si="56">IF(D$12=0,0,D153/D$12)</f>
        <v>0</v>
      </c>
      <c r="G153" s="1"/>
      <c r="H153" s="1">
        <f>SUM(OSRRefH22_7x_0)</f>
        <v>1000</v>
      </c>
      <c r="I153" s="1"/>
      <c r="J153" s="5">
        <f t="shared" ref="J153:J155" si="57">IF(H$12=0,0,H153/H$12)</f>
        <v>1.5039403236479577E-3</v>
      </c>
      <c r="K153" s="1"/>
      <c r="L153" s="1">
        <f t="shared" ref="L153:L155" si="58">+D153-H153</f>
        <v>-1000</v>
      </c>
      <c r="M153" s="1"/>
      <c r="N153" s="5">
        <f t="shared" ref="N153:N155" si="59">IF(H153=0,0,L153/H153)</f>
        <v>-1</v>
      </c>
      <c r="O153" s="14"/>
      <c r="P153" s="1">
        <f>SUM(OSRRefP22_7x_0)</f>
        <v>0</v>
      </c>
      <c r="Q153" s="1"/>
      <c r="R153" s="5">
        <f t="shared" ref="R153:R155" si="60">IF(P$12=0,0,P153/P$12)</f>
        <v>0</v>
      </c>
      <c r="S153" s="1"/>
      <c r="T153" s="1">
        <f>SUM(OSRRefT22_7x_0)</f>
        <v>8000</v>
      </c>
      <c r="U153" s="1"/>
      <c r="V153" s="5">
        <f t="shared" ref="V153:V155" si="61">IF(T$12=0,0,T153/T$12)</f>
        <v>1.094873977952249E-3</v>
      </c>
      <c r="W153" s="1"/>
      <c r="X153" s="1">
        <f t="shared" ref="X153:X155" si="62">+P153-T153</f>
        <v>-8000</v>
      </c>
      <c r="Y153" s="1"/>
      <c r="Z153" s="5">
        <f t="shared" ref="Z153:Z155" si="63">IF(T153=0,0,X153/T153)</f>
        <v>-1</v>
      </c>
    </row>
    <row r="154" spans="1:26" s="24" customFormat="1" hidden="1" outlineLevel="2" x14ac:dyDescent="0.25">
      <c r="A154" s="27"/>
      <c r="B154" s="11" t="str">
        <f>CONCATENATE("          ", "6395", " - ", "DONATION-OFF CAMPUS")</f>
        <v xml:space="preserve">          6395 - DONATION-OFF CAMPUS</v>
      </c>
      <c r="C154" s="11"/>
      <c r="D154" s="7"/>
      <c r="E154" s="2"/>
      <c r="F154" s="6">
        <f t="shared" si="56"/>
        <v>0</v>
      </c>
      <c r="G154" s="2"/>
      <c r="H154" s="7"/>
      <c r="I154" s="2"/>
      <c r="J154" s="6">
        <f t="shared" si="57"/>
        <v>0</v>
      </c>
      <c r="K154" s="2"/>
      <c r="L154" s="7">
        <f t="shared" si="58"/>
        <v>0</v>
      </c>
      <c r="M154" s="2"/>
      <c r="N154" s="6">
        <f t="shared" si="59"/>
        <v>0</v>
      </c>
      <c r="O154" s="11"/>
      <c r="P154" s="7"/>
      <c r="Q154" s="2"/>
      <c r="R154" s="6">
        <f t="shared" si="60"/>
        <v>0</v>
      </c>
      <c r="S154" s="2"/>
      <c r="T154" s="7">
        <v>0</v>
      </c>
      <c r="U154" s="2"/>
      <c r="V154" s="6">
        <f t="shared" si="61"/>
        <v>0</v>
      </c>
      <c r="W154" s="2"/>
      <c r="X154" s="7">
        <f t="shared" si="62"/>
        <v>0</v>
      </c>
      <c r="Y154" s="2"/>
      <c r="Z154" s="6">
        <f t="shared" si="63"/>
        <v>0</v>
      </c>
    </row>
    <row r="155" spans="1:26" s="24" customFormat="1" hidden="1" outlineLevel="2" x14ac:dyDescent="0.25">
      <c r="A155" s="27"/>
      <c r="B155" s="11" t="str">
        <f>CONCATENATE("          ", "6399", " - ", "DONATION-ON CAMPUS")</f>
        <v xml:space="preserve">          6399 - DONATION-ON CAMPUS</v>
      </c>
      <c r="C155" s="11"/>
      <c r="D155" s="7"/>
      <c r="E155" s="2"/>
      <c r="F155" s="6">
        <f t="shared" si="56"/>
        <v>0</v>
      </c>
      <c r="G155" s="2"/>
      <c r="H155" s="7">
        <v>1000</v>
      </c>
      <c r="I155" s="2"/>
      <c r="J155" s="6">
        <f t="shared" si="57"/>
        <v>1.5039403236479577E-3</v>
      </c>
      <c r="K155" s="2"/>
      <c r="L155" s="7">
        <f t="shared" si="58"/>
        <v>-1000</v>
      </c>
      <c r="M155" s="2"/>
      <c r="N155" s="6">
        <f t="shared" si="59"/>
        <v>-1</v>
      </c>
      <c r="O155" s="11"/>
      <c r="P155" s="7"/>
      <c r="Q155" s="2"/>
      <c r="R155" s="6">
        <f t="shared" si="60"/>
        <v>0</v>
      </c>
      <c r="S155" s="2"/>
      <c r="T155" s="7">
        <v>8000</v>
      </c>
      <c r="U155" s="2"/>
      <c r="V155" s="6">
        <f t="shared" si="61"/>
        <v>1.094873977952249E-3</v>
      </c>
      <c r="W155" s="2"/>
      <c r="X155" s="7">
        <f t="shared" si="62"/>
        <v>-8000</v>
      </c>
      <c r="Y155" s="2"/>
      <c r="Z155" s="6">
        <f t="shared" si="63"/>
        <v>-1</v>
      </c>
    </row>
    <row r="156" spans="1:26" s="28" customFormat="1" outlineLevel="1" collapsed="1" x14ac:dyDescent="0.25">
      <c r="A156" s="29"/>
      <c r="B156" s="14" t="str">
        <f>CONCATENATE("     ","Employees' Appreciation                           ")</f>
        <v xml:space="preserve">     Employees' Appreciation                           </v>
      </c>
      <c r="C156" s="14"/>
      <c r="D156" s="1">
        <f>SUM(OSRRefD22_8x_0)</f>
        <v>0</v>
      </c>
      <c r="E156" s="1"/>
      <c r="F156" s="5">
        <f t="shared" ref="F156:F162" si="64">IF(D$12=0,0,D156/D$12)</f>
        <v>0</v>
      </c>
      <c r="G156" s="1"/>
      <c r="H156" s="1">
        <f>SUM(OSRRefH22_8x_0)</f>
        <v>425</v>
      </c>
      <c r="I156" s="1"/>
      <c r="J156" s="5">
        <f t="shared" ref="J156:J162" si="65">IF(H$12=0,0,H156/H$12)</f>
        <v>6.3917463755038201E-4</v>
      </c>
      <c r="K156" s="1"/>
      <c r="L156" s="1">
        <f t="shared" ref="L156:L162" si="66">+D156-H156</f>
        <v>-425</v>
      </c>
      <c r="M156" s="1"/>
      <c r="N156" s="5">
        <f t="shared" ref="N156:N162" si="67">IF(H156=0,0,L156/H156)</f>
        <v>-1</v>
      </c>
      <c r="O156" s="14"/>
      <c r="P156" s="1">
        <f>SUM(OSRRefP22_8x_0)</f>
        <v>186.03</v>
      </c>
      <c r="Q156" s="1"/>
      <c r="R156" s="5">
        <f t="shared" ref="R156:R162" si="68">IF(P$12=0,0,P156/P$12)</f>
        <v>4.5592475654860578E-5</v>
      </c>
      <c r="S156" s="1"/>
      <c r="T156" s="1">
        <f>SUM(OSRRefT22_8x_0)</f>
        <v>3300</v>
      </c>
      <c r="U156" s="1"/>
      <c r="V156" s="5">
        <f t="shared" ref="V156:V162" si="69">IF(T$12=0,0,T156/T$12)</f>
        <v>4.5163551590530273E-4</v>
      </c>
      <c r="W156" s="1"/>
      <c r="X156" s="1">
        <f t="shared" ref="X156:X162" si="70">+P156-T156</f>
        <v>-3113.97</v>
      </c>
      <c r="Y156" s="1"/>
      <c r="Z156" s="5">
        <f t="shared" ref="Z156:Z162" si="71">IF(T156=0,0,X156/T156)</f>
        <v>-0.94362727272727265</v>
      </c>
    </row>
    <row r="157" spans="1:26" s="24" customFormat="1" hidden="1" outlineLevel="2" x14ac:dyDescent="0.25">
      <c r="A157" s="27"/>
      <c r="B157" s="11" t="str">
        <f>CONCATENATE("          ", "6277", " - ", "EMPLOYEE APPRECIATION")</f>
        <v xml:space="preserve">          6277 - EMPLOYEE APPRECIATION</v>
      </c>
      <c r="C157" s="11"/>
      <c r="D157" s="7"/>
      <c r="E157" s="2"/>
      <c r="F157" s="6">
        <f t="shared" si="64"/>
        <v>0</v>
      </c>
      <c r="G157" s="2"/>
      <c r="H157" s="7">
        <v>425</v>
      </c>
      <c r="I157" s="2"/>
      <c r="J157" s="6">
        <f t="shared" si="65"/>
        <v>6.3917463755038201E-4</v>
      </c>
      <c r="K157" s="2"/>
      <c r="L157" s="7">
        <f t="shared" si="66"/>
        <v>-425</v>
      </c>
      <c r="M157" s="2"/>
      <c r="N157" s="6">
        <f t="shared" si="67"/>
        <v>-1</v>
      </c>
      <c r="O157" s="11"/>
      <c r="P157" s="7">
        <v>186.03</v>
      </c>
      <c r="Q157" s="2"/>
      <c r="R157" s="6">
        <f t="shared" si="68"/>
        <v>4.5592475654860578E-5</v>
      </c>
      <c r="S157" s="2"/>
      <c r="T157" s="7">
        <v>3300</v>
      </c>
      <c r="U157" s="2"/>
      <c r="V157" s="6">
        <f t="shared" si="69"/>
        <v>4.5163551590530273E-4</v>
      </c>
      <c r="W157" s="2"/>
      <c r="X157" s="7">
        <f t="shared" si="70"/>
        <v>-3113.97</v>
      </c>
      <c r="Y157" s="2"/>
      <c r="Z157" s="6">
        <f t="shared" si="71"/>
        <v>-0.94362727272727265</v>
      </c>
    </row>
    <row r="158" spans="1:26" s="28" customFormat="1" outlineLevel="1" collapsed="1" x14ac:dyDescent="0.25">
      <c r="A158" s="29"/>
      <c r="B158" s="14" t="str">
        <f>CONCATENATE("     ","Equipment Rental                                  ")</f>
        <v xml:space="preserve">     Equipment Rental                                  </v>
      </c>
      <c r="C158" s="14"/>
      <c r="D158" s="1">
        <f>SUM(OSRRefD22_9x_0)</f>
        <v>1784.21</v>
      </c>
      <c r="E158" s="1"/>
      <c r="F158" s="5">
        <f t="shared" si="64"/>
        <v>8.7961382398898825E-3</v>
      </c>
      <c r="G158" s="1"/>
      <c r="H158" s="1">
        <f>SUM(OSRRefH22_9x_0)</f>
        <v>3006</v>
      </c>
      <c r="I158" s="1"/>
      <c r="J158" s="5">
        <f t="shared" si="65"/>
        <v>4.5208446128857608E-3</v>
      </c>
      <c r="K158" s="1"/>
      <c r="L158" s="1">
        <f t="shared" si="66"/>
        <v>-1221.79</v>
      </c>
      <c r="M158" s="1"/>
      <c r="N158" s="5">
        <f t="shared" si="67"/>
        <v>-0.40645043246839652</v>
      </c>
      <c r="O158" s="14"/>
      <c r="P158" s="1">
        <f>SUM(OSRRefP22_9x_0)</f>
        <v>12149.11</v>
      </c>
      <c r="Q158" s="1"/>
      <c r="R158" s="5">
        <f t="shared" si="68"/>
        <v>2.9775197651089784E-3</v>
      </c>
      <c r="S158" s="1"/>
      <c r="T158" s="1">
        <f>SUM(OSRRefT22_9x_0)</f>
        <v>24048</v>
      </c>
      <c r="U158" s="1"/>
      <c r="V158" s="5">
        <f t="shared" si="69"/>
        <v>3.2911911777244603E-3</v>
      </c>
      <c r="W158" s="1"/>
      <c r="X158" s="1">
        <f t="shared" si="70"/>
        <v>-11898.89</v>
      </c>
      <c r="Y158" s="1"/>
      <c r="Z158" s="5">
        <f t="shared" si="71"/>
        <v>-0.49479748835662007</v>
      </c>
    </row>
    <row r="159" spans="1:26" s="24" customFormat="1" hidden="1" outlineLevel="2" x14ac:dyDescent="0.25">
      <c r="A159" s="27"/>
      <c r="B159" s="11" t="str">
        <f>CONCATENATE("          ", "6351", " - ", "EQUIPMENT RENTAL")</f>
        <v xml:space="preserve">          6351 - EQUIPMENT RENTAL</v>
      </c>
      <c r="C159" s="11"/>
      <c r="D159" s="7">
        <v>1784.21</v>
      </c>
      <c r="E159" s="2"/>
      <c r="F159" s="6">
        <f t="shared" si="64"/>
        <v>8.7961382398898825E-3</v>
      </c>
      <c r="G159" s="2"/>
      <c r="H159" s="7">
        <v>3006</v>
      </c>
      <c r="I159" s="2"/>
      <c r="J159" s="6">
        <f t="shared" si="65"/>
        <v>4.5208446128857608E-3</v>
      </c>
      <c r="K159" s="2"/>
      <c r="L159" s="7">
        <f t="shared" si="66"/>
        <v>-1221.79</v>
      </c>
      <c r="M159" s="2"/>
      <c r="N159" s="6">
        <f t="shared" si="67"/>
        <v>-0.40645043246839652</v>
      </c>
      <c r="O159" s="11"/>
      <c r="P159" s="7">
        <v>12149.11</v>
      </c>
      <c r="Q159" s="2"/>
      <c r="R159" s="6">
        <f t="shared" si="68"/>
        <v>2.9775197651089784E-3</v>
      </c>
      <c r="S159" s="2"/>
      <c r="T159" s="7">
        <v>24048</v>
      </c>
      <c r="U159" s="2"/>
      <c r="V159" s="6">
        <f t="shared" si="69"/>
        <v>3.2911911777244603E-3</v>
      </c>
      <c r="W159" s="2"/>
      <c r="X159" s="7">
        <f t="shared" si="70"/>
        <v>-11898.89</v>
      </c>
      <c r="Y159" s="2"/>
      <c r="Z159" s="6">
        <f t="shared" si="71"/>
        <v>-0.49479748835662007</v>
      </c>
    </row>
    <row r="160" spans="1:26" s="28" customFormat="1" outlineLevel="1" collapsed="1" x14ac:dyDescent="0.25">
      <c r="A160" s="29"/>
      <c r="B160" s="14" t="str">
        <f>CONCATENATE("     ","Freight out/Postage                               ")</f>
        <v xml:space="preserve">     Freight out/Postage                               </v>
      </c>
      <c r="C160" s="14"/>
      <c r="D160" s="1">
        <f>SUM(OSRRefD22_10x_0)</f>
        <v>4165.4900000000016</v>
      </c>
      <c r="E160" s="1"/>
      <c r="F160" s="5">
        <f t="shared" si="64"/>
        <v>2.0535825870765727E-2</v>
      </c>
      <c r="G160" s="1"/>
      <c r="H160" s="1">
        <f>SUM(OSRRefH22_10x_0)</f>
        <v>5588</v>
      </c>
      <c r="I160" s="1"/>
      <c r="J160" s="5">
        <f t="shared" si="65"/>
        <v>8.404018528544787E-3</v>
      </c>
      <c r="K160" s="1"/>
      <c r="L160" s="1">
        <f t="shared" si="66"/>
        <v>-1422.5099999999984</v>
      </c>
      <c r="M160" s="1"/>
      <c r="N160" s="5">
        <f t="shared" si="67"/>
        <v>-0.25456513958482435</v>
      </c>
      <c r="O160" s="14"/>
      <c r="P160" s="1">
        <f>SUM(OSRRefP22_10x_0)</f>
        <v>-32653.899999999994</v>
      </c>
      <c r="Q160" s="1"/>
      <c r="R160" s="5">
        <f t="shared" si="68"/>
        <v>-8.0028605105964181E-3</v>
      </c>
      <c r="S160" s="1"/>
      <c r="T160" s="1">
        <f>SUM(OSRRefT22_10x_0)</f>
        <v>46353</v>
      </c>
      <c r="U160" s="1"/>
      <c r="V160" s="5">
        <f t="shared" si="69"/>
        <v>6.3438366875025742E-3</v>
      </c>
      <c r="W160" s="1"/>
      <c r="X160" s="1">
        <f t="shared" si="70"/>
        <v>-79006.899999999994</v>
      </c>
      <c r="Y160" s="1"/>
      <c r="Z160" s="5">
        <f t="shared" si="71"/>
        <v>-1.7044614156581019</v>
      </c>
    </row>
    <row r="161" spans="1:26" s="24" customFormat="1" hidden="1" outlineLevel="2" x14ac:dyDescent="0.25">
      <c r="A161" s="27"/>
      <c r="B161" s="11" t="str">
        <f>CONCATENATE("          ", "6305", " - ", "FREIGHT OUT")</f>
        <v xml:space="preserve">          6305 - FREIGHT OUT</v>
      </c>
      <c r="C161" s="11"/>
      <c r="D161" s="7">
        <v>26178.02</v>
      </c>
      <c r="E161" s="2"/>
      <c r="F161" s="6">
        <f t="shared" si="64"/>
        <v>0.12905738829319538</v>
      </c>
      <c r="G161" s="2"/>
      <c r="H161" s="7">
        <v>11268</v>
      </c>
      <c r="I161" s="2"/>
      <c r="J161" s="6">
        <f t="shared" si="65"/>
        <v>1.6946399566865188E-2</v>
      </c>
      <c r="K161" s="2"/>
      <c r="L161" s="7">
        <f t="shared" si="66"/>
        <v>14910.02</v>
      </c>
      <c r="M161" s="2"/>
      <c r="N161" s="6">
        <f t="shared" si="67"/>
        <v>1.3232179623713169</v>
      </c>
      <c r="O161" s="11"/>
      <c r="P161" s="7">
        <v>161667.22</v>
      </c>
      <c r="Q161" s="2"/>
      <c r="R161" s="6">
        <f t="shared" si="68"/>
        <v>3.9621613675423259E-2</v>
      </c>
      <c r="S161" s="2"/>
      <c r="T161" s="7">
        <v>48643</v>
      </c>
      <c r="U161" s="2"/>
      <c r="V161" s="6">
        <f t="shared" si="69"/>
        <v>6.6572443636914056E-3</v>
      </c>
      <c r="W161" s="2"/>
      <c r="X161" s="7">
        <f t="shared" si="70"/>
        <v>113024.22</v>
      </c>
      <c r="Y161" s="2"/>
      <c r="Z161" s="6">
        <f t="shared" si="71"/>
        <v>2.3235454227740888</v>
      </c>
    </row>
    <row r="162" spans="1:26" s="24" customFormat="1" hidden="1" outlineLevel="2" x14ac:dyDescent="0.25">
      <c r="A162" s="27"/>
      <c r="B162" s="11" t="str">
        <f>CONCATENATE("          ", "6307", " - ", "POSTAGE")</f>
        <v xml:space="preserve">          6307 - POSTAGE</v>
      </c>
      <c r="C162" s="11"/>
      <c r="D162" s="7">
        <v>-22012.53</v>
      </c>
      <c r="E162" s="2"/>
      <c r="F162" s="6">
        <f t="shared" si="64"/>
        <v>-0.10852156242242966</v>
      </c>
      <c r="G162" s="2"/>
      <c r="H162" s="7">
        <v>-5680</v>
      </c>
      <c r="I162" s="2"/>
      <c r="J162" s="6">
        <f t="shared" si="65"/>
        <v>-8.5423810383203989E-3</v>
      </c>
      <c r="K162" s="2"/>
      <c r="L162" s="7">
        <f t="shared" si="66"/>
        <v>-16332.529999999999</v>
      </c>
      <c r="M162" s="2"/>
      <c r="N162" s="6">
        <f t="shared" si="67"/>
        <v>2.8754454225352108</v>
      </c>
      <c r="O162" s="11"/>
      <c r="P162" s="7">
        <v>-194321.12</v>
      </c>
      <c r="Q162" s="2"/>
      <c r="R162" s="6">
        <f t="shared" si="68"/>
        <v>-4.7624474186019679E-2</v>
      </c>
      <c r="S162" s="2"/>
      <c r="T162" s="7">
        <v>-2290</v>
      </c>
      <c r="U162" s="2"/>
      <c r="V162" s="6">
        <f t="shared" si="69"/>
        <v>-3.1340767618883125E-4</v>
      </c>
      <c r="W162" s="2"/>
      <c r="X162" s="7">
        <f t="shared" si="70"/>
        <v>-192031.12</v>
      </c>
      <c r="Y162" s="2"/>
      <c r="Z162" s="6">
        <f t="shared" si="71"/>
        <v>83.856384279475975</v>
      </c>
    </row>
    <row r="163" spans="1:26" s="28" customFormat="1" outlineLevel="1" collapsed="1" x14ac:dyDescent="0.25">
      <c r="A163" s="29"/>
      <c r="B163" s="14" t="str">
        <f>CONCATENATE("     ","General                                           ")</f>
        <v xml:space="preserve">     General                                           </v>
      </c>
      <c r="C163" s="14"/>
      <c r="D163" s="1">
        <f>SUM(OSRRefD22_11x_0)</f>
        <v>-4.21</v>
      </c>
      <c r="E163" s="1"/>
      <c r="F163" s="5">
        <f t="shared" ref="F163:F166" si="72">IF(D$12=0,0,D163/D$12)</f>
        <v>-2.0755259745173721E-5</v>
      </c>
      <c r="G163" s="1"/>
      <c r="H163" s="1">
        <f>SUM(OSRRefH22_11x_0)</f>
        <v>625</v>
      </c>
      <c r="I163" s="1"/>
      <c r="J163" s="5">
        <f t="shared" ref="J163:J166" si="73">IF(H$12=0,0,H163/H$12)</f>
        <v>9.3996270227997356E-4</v>
      </c>
      <c r="K163" s="1"/>
      <c r="L163" s="1">
        <f t="shared" ref="L163:L166" si="74">+D163-H163</f>
        <v>-629.21</v>
      </c>
      <c r="M163" s="1"/>
      <c r="N163" s="5">
        <f t="shared" ref="N163:N166" si="75">IF(H163=0,0,L163/H163)</f>
        <v>-1.0067360000000001</v>
      </c>
      <c r="O163" s="14"/>
      <c r="P163" s="1">
        <f>SUM(OSRRefP22_11x_0)</f>
        <v>2509.79</v>
      </c>
      <c r="Q163" s="1"/>
      <c r="R163" s="5">
        <f t="shared" ref="R163:R166" si="76">IF(P$12=0,0,P163/P$12)</f>
        <v>6.1510261502882612E-4</v>
      </c>
      <c r="S163" s="1"/>
      <c r="T163" s="1">
        <f>SUM(OSRRefT22_11x_0)</f>
        <v>8700</v>
      </c>
      <c r="U163" s="1"/>
      <c r="V163" s="5">
        <f t="shared" ref="V163:V166" si="77">IF(T$12=0,0,T163/T$12)</f>
        <v>1.1906754510230709E-3</v>
      </c>
      <c r="W163" s="1"/>
      <c r="X163" s="1">
        <f t="shared" ref="X163:X166" si="78">+P163-T163</f>
        <v>-6190.21</v>
      </c>
      <c r="Y163" s="1"/>
      <c r="Z163" s="5">
        <f t="shared" ref="Z163:Z166" si="79">IF(T163=0,0,X163/T163)</f>
        <v>-0.71151839080459767</v>
      </c>
    </row>
    <row r="164" spans="1:26" s="24" customFormat="1" hidden="1" outlineLevel="2" x14ac:dyDescent="0.25">
      <c r="A164" s="27"/>
      <c r="B164" s="11" t="str">
        <f>CONCATENATE("          ", "6269", " - ", "ENTERTAINMENT")</f>
        <v xml:space="preserve">          6269 - ENTERTAINMENT</v>
      </c>
      <c r="C164" s="11"/>
      <c r="D164" s="7"/>
      <c r="E164" s="2"/>
      <c r="F164" s="6">
        <f t="shared" si="72"/>
        <v>0</v>
      </c>
      <c r="G164" s="2"/>
      <c r="H164" s="7">
        <v>125</v>
      </c>
      <c r="I164" s="2"/>
      <c r="J164" s="6">
        <f t="shared" si="73"/>
        <v>1.8799254045599471E-4</v>
      </c>
      <c r="K164" s="2"/>
      <c r="L164" s="7">
        <f t="shared" si="74"/>
        <v>-125</v>
      </c>
      <c r="M164" s="2"/>
      <c r="N164" s="6">
        <f t="shared" si="75"/>
        <v>-1</v>
      </c>
      <c r="O164" s="11"/>
      <c r="P164" s="7"/>
      <c r="Q164" s="2"/>
      <c r="R164" s="6">
        <f t="shared" si="76"/>
        <v>0</v>
      </c>
      <c r="S164" s="2"/>
      <c r="T164" s="7">
        <v>1500</v>
      </c>
      <c r="U164" s="2"/>
      <c r="V164" s="6">
        <f t="shared" si="77"/>
        <v>2.0528887086604668E-4</v>
      </c>
      <c r="W164" s="2"/>
      <c r="X164" s="7">
        <f t="shared" si="78"/>
        <v>-1500</v>
      </c>
      <c r="Y164" s="2"/>
      <c r="Z164" s="6">
        <f t="shared" si="79"/>
        <v>-1</v>
      </c>
    </row>
    <row r="165" spans="1:26" s="24" customFormat="1" hidden="1" outlineLevel="2" x14ac:dyDescent="0.25">
      <c r="A165" s="27"/>
      <c r="B165" s="11" t="str">
        <f>CONCATENATE("          ", "6276", " - ", "PROPERTY TAX")</f>
        <v xml:space="preserve">          6276 - PROPERTY TAX</v>
      </c>
      <c r="C165" s="11"/>
      <c r="D165" s="7"/>
      <c r="E165" s="2"/>
      <c r="F165" s="6">
        <f t="shared" si="72"/>
        <v>0</v>
      </c>
      <c r="G165" s="2"/>
      <c r="H165" s="7"/>
      <c r="I165" s="2"/>
      <c r="J165" s="6">
        <f t="shared" si="73"/>
        <v>0</v>
      </c>
      <c r="K165" s="2"/>
      <c r="L165" s="7">
        <f t="shared" si="74"/>
        <v>0</v>
      </c>
      <c r="M165" s="2"/>
      <c r="N165" s="6">
        <f t="shared" si="75"/>
        <v>0</v>
      </c>
      <c r="O165" s="11"/>
      <c r="P165" s="7"/>
      <c r="Q165" s="2"/>
      <c r="R165" s="6">
        <f t="shared" si="76"/>
        <v>0</v>
      </c>
      <c r="S165" s="2"/>
      <c r="T165" s="7">
        <v>150</v>
      </c>
      <c r="U165" s="2"/>
      <c r="V165" s="6">
        <f t="shared" si="77"/>
        <v>2.0528887086604667E-5</v>
      </c>
      <c r="W165" s="2"/>
      <c r="X165" s="7">
        <f t="shared" si="78"/>
        <v>-150</v>
      </c>
      <c r="Y165" s="2"/>
      <c r="Z165" s="6">
        <f t="shared" si="79"/>
        <v>-1</v>
      </c>
    </row>
    <row r="166" spans="1:26" s="24" customFormat="1" hidden="1" outlineLevel="2" x14ac:dyDescent="0.25">
      <c r="A166" s="27"/>
      <c r="B166" s="11" t="str">
        <f>CONCATENATE("          ", "6279", " - ", "GENERAL EXPENSE")</f>
        <v xml:space="preserve">          6279 - GENERAL EXPENSE</v>
      </c>
      <c r="C166" s="11"/>
      <c r="D166" s="7">
        <v>-4.21</v>
      </c>
      <c r="E166" s="2"/>
      <c r="F166" s="6">
        <f t="shared" si="72"/>
        <v>-2.0755259745173721E-5</v>
      </c>
      <c r="G166" s="2"/>
      <c r="H166" s="7">
        <v>500</v>
      </c>
      <c r="I166" s="2"/>
      <c r="J166" s="6">
        <f t="shared" si="73"/>
        <v>7.5197016182397883E-4</v>
      </c>
      <c r="K166" s="2"/>
      <c r="L166" s="7">
        <f t="shared" si="74"/>
        <v>-504.21</v>
      </c>
      <c r="M166" s="2"/>
      <c r="N166" s="6">
        <f t="shared" si="75"/>
        <v>-1.0084199999999999</v>
      </c>
      <c r="O166" s="11"/>
      <c r="P166" s="7">
        <v>2509.79</v>
      </c>
      <c r="Q166" s="2"/>
      <c r="R166" s="6">
        <f t="shared" si="76"/>
        <v>6.1510261502882612E-4</v>
      </c>
      <c r="S166" s="2"/>
      <c r="T166" s="7">
        <v>7050</v>
      </c>
      <c r="U166" s="2"/>
      <c r="V166" s="6">
        <f t="shared" si="77"/>
        <v>9.6485769307041937E-4</v>
      </c>
      <c r="W166" s="2"/>
      <c r="X166" s="7">
        <f t="shared" si="78"/>
        <v>-4540.21</v>
      </c>
      <c r="Y166" s="2"/>
      <c r="Z166" s="6">
        <f t="shared" si="79"/>
        <v>-0.64400141843971637</v>
      </c>
    </row>
    <row r="167" spans="1:26" s="28" customFormat="1" outlineLevel="1" collapsed="1" x14ac:dyDescent="0.25">
      <c r="A167" s="29"/>
      <c r="B167" s="14" t="str">
        <f>CONCATENATE("     ","Insurance                                         ")</f>
        <v xml:space="preserve">     Insurance                                         </v>
      </c>
      <c r="C167" s="14"/>
      <c r="D167" s="1">
        <f>SUM(OSRRefD22_12x_0)</f>
        <v>4044.74</v>
      </c>
      <c r="E167" s="1"/>
      <c r="F167" s="5">
        <f t="shared" ref="F167:F179" si="80">IF(D$12=0,0,D167/D$12)</f>
        <v>1.9940529525342983E-2</v>
      </c>
      <c r="G167" s="1"/>
      <c r="H167" s="1">
        <f>SUM(OSRRefH22_12x_0)</f>
        <v>4446</v>
      </c>
      <c r="I167" s="1"/>
      <c r="J167" s="5">
        <f t="shared" ref="J167:J179" si="81">IF(H$12=0,0,H167/H$12)</f>
        <v>6.6865186789388199E-3</v>
      </c>
      <c r="K167" s="1"/>
      <c r="L167" s="1">
        <f t="shared" ref="L167:L179" si="82">+D167-H167</f>
        <v>-401.26000000000022</v>
      </c>
      <c r="M167" s="1"/>
      <c r="N167" s="5">
        <f t="shared" ref="N167:N179" si="83">IF(H167=0,0,L167/H167)</f>
        <v>-9.0251911830859247E-2</v>
      </c>
      <c r="O167" s="14"/>
      <c r="P167" s="1">
        <f>SUM(OSRRefP22_12x_0)</f>
        <v>32357.919999999998</v>
      </c>
      <c r="Q167" s="1"/>
      <c r="R167" s="5">
        <f t="shared" ref="R167:R179" si="84">IF(P$12=0,0,P167/P$12)</f>
        <v>7.9303213451697371E-3</v>
      </c>
      <c r="S167" s="1"/>
      <c r="T167" s="1">
        <f>SUM(OSRRefT22_12x_0)</f>
        <v>35568</v>
      </c>
      <c r="U167" s="1"/>
      <c r="V167" s="5">
        <f t="shared" ref="V167:V179" si="85">IF(T$12=0,0,T167/T$12)</f>
        <v>4.8678097059756988E-3</v>
      </c>
      <c r="W167" s="1"/>
      <c r="X167" s="1">
        <f t="shared" ref="X167:X179" si="86">+P167-T167</f>
        <v>-3210.0800000000017</v>
      </c>
      <c r="Y167" s="1"/>
      <c r="Z167" s="5">
        <f t="shared" ref="Z167:Z179" si="87">IF(T167=0,0,X167/T167)</f>
        <v>-9.0251911830859247E-2</v>
      </c>
    </row>
    <row r="168" spans="1:26" s="24" customFormat="1" hidden="1" outlineLevel="2" x14ac:dyDescent="0.25">
      <c r="A168" s="27"/>
      <c r="B168" s="11" t="str">
        <f>CONCATENATE("          ", "6314", " - ", "LIABILITY INSURANCE")</f>
        <v xml:space="preserve">          6314 - LIABILITY INSURANCE</v>
      </c>
      <c r="C168" s="11"/>
      <c r="D168" s="7">
        <v>4044.74</v>
      </c>
      <c r="E168" s="2"/>
      <c r="F168" s="6">
        <f t="shared" si="80"/>
        <v>1.9940529525342983E-2</v>
      </c>
      <c r="G168" s="2"/>
      <c r="H168" s="7">
        <v>4446</v>
      </c>
      <c r="I168" s="2"/>
      <c r="J168" s="6">
        <f t="shared" si="81"/>
        <v>6.6865186789388199E-3</v>
      </c>
      <c r="K168" s="2"/>
      <c r="L168" s="7">
        <f t="shared" si="82"/>
        <v>-401.26000000000022</v>
      </c>
      <c r="M168" s="2"/>
      <c r="N168" s="6">
        <f t="shared" si="83"/>
        <v>-9.0251911830859247E-2</v>
      </c>
      <c r="O168" s="11"/>
      <c r="P168" s="7">
        <v>32357.919999999998</v>
      </c>
      <c r="Q168" s="2"/>
      <c r="R168" s="6">
        <f t="shared" si="84"/>
        <v>7.9303213451697371E-3</v>
      </c>
      <c r="S168" s="2"/>
      <c r="T168" s="7">
        <v>35568</v>
      </c>
      <c r="U168" s="2"/>
      <c r="V168" s="6">
        <f t="shared" si="85"/>
        <v>4.8678097059756988E-3</v>
      </c>
      <c r="W168" s="2"/>
      <c r="X168" s="7">
        <f t="shared" si="86"/>
        <v>-3210.0800000000017</v>
      </c>
      <c r="Y168" s="2"/>
      <c r="Z168" s="6">
        <f t="shared" si="87"/>
        <v>-9.0251911830859247E-2</v>
      </c>
    </row>
    <row r="169" spans="1:26" s="28" customFormat="1" outlineLevel="1" collapsed="1" x14ac:dyDescent="0.25">
      <c r="A169" s="29"/>
      <c r="B169" s="14" t="str">
        <f>CONCATENATE("     ","Inventory Adjustment                              ")</f>
        <v xml:space="preserve">     Inventory Adjustment                              </v>
      </c>
      <c r="C169" s="14"/>
      <c r="D169" s="1">
        <f>SUM(OSRRefD22_13x_0)</f>
        <v>2100</v>
      </c>
      <c r="E169" s="1"/>
      <c r="F169" s="5">
        <f t="shared" si="80"/>
        <v>1.0352979920395444E-2</v>
      </c>
      <c r="G169" s="1"/>
      <c r="H169" s="1">
        <f>SUM(OSRRefH22_13x_0)</f>
        <v>3100</v>
      </c>
      <c r="I169" s="1"/>
      <c r="J169" s="5">
        <f t="shared" si="81"/>
        <v>4.6622150033086684E-3</v>
      </c>
      <c r="K169" s="1"/>
      <c r="L169" s="1">
        <f t="shared" si="82"/>
        <v>-1000</v>
      </c>
      <c r="M169" s="1"/>
      <c r="N169" s="5">
        <f t="shared" si="83"/>
        <v>-0.32258064516129031</v>
      </c>
      <c r="O169" s="14"/>
      <c r="P169" s="1">
        <f>SUM(OSRRefP22_13x_0)</f>
        <v>21800</v>
      </c>
      <c r="Q169" s="1"/>
      <c r="R169" s="5">
        <f t="shared" si="84"/>
        <v>5.3427725059181884E-3</v>
      </c>
      <c r="S169" s="1"/>
      <c r="T169" s="1">
        <f>SUM(OSRRefT22_13x_0)</f>
        <v>29800</v>
      </c>
      <c r="U169" s="1"/>
      <c r="V169" s="5">
        <f t="shared" si="85"/>
        <v>4.0784055678721272E-3</v>
      </c>
      <c r="W169" s="1"/>
      <c r="X169" s="1">
        <f t="shared" si="86"/>
        <v>-8000</v>
      </c>
      <c r="Y169" s="1"/>
      <c r="Z169" s="5">
        <f t="shared" si="87"/>
        <v>-0.26845637583892618</v>
      </c>
    </row>
    <row r="170" spans="1:26" s="24" customFormat="1" hidden="1" outlineLevel="2" x14ac:dyDescent="0.25">
      <c r="A170" s="27"/>
      <c r="B170" s="11" t="str">
        <f>CONCATENATE("          ", "6408", " - ", "INVENTORY ADJUSTMENT")</f>
        <v xml:space="preserve">          6408 - INVENTORY ADJUSTMENT</v>
      </c>
      <c r="C170" s="11"/>
      <c r="D170" s="7">
        <v>2100</v>
      </c>
      <c r="E170" s="2"/>
      <c r="F170" s="6">
        <f t="shared" si="80"/>
        <v>1.0352979920395444E-2</v>
      </c>
      <c r="G170" s="2"/>
      <c r="H170" s="7">
        <v>3100</v>
      </c>
      <c r="I170" s="2"/>
      <c r="J170" s="6">
        <f t="shared" si="81"/>
        <v>4.6622150033086684E-3</v>
      </c>
      <c r="K170" s="2"/>
      <c r="L170" s="7">
        <f t="shared" si="82"/>
        <v>-1000</v>
      </c>
      <c r="M170" s="2"/>
      <c r="N170" s="6">
        <f t="shared" si="83"/>
        <v>-0.32258064516129031</v>
      </c>
      <c r="O170" s="11"/>
      <c r="P170" s="7">
        <v>21800</v>
      </c>
      <c r="Q170" s="2"/>
      <c r="R170" s="6">
        <f t="shared" si="84"/>
        <v>5.3427725059181884E-3</v>
      </c>
      <c r="S170" s="2"/>
      <c r="T170" s="7">
        <v>29800</v>
      </c>
      <c r="U170" s="2"/>
      <c r="V170" s="6">
        <f t="shared" si="85"/>
        <v>4.0784055678721272E-3</v>
      </c>
      <c r="W170" s="2"/>
      <c r="X170" s="7">
        <f t="shared" si="86"/>
        <v>-8000</v>
      </c>
      <c r="Y170" s="2"/>
      <c r="Z170" s="6">
        <f t="shared" si="87"/>
        <v>-0.26845637583892618</v>
      </c>
    </row>
    <row r="171" spans="1:26" s="28" customFormat="1" outlineLevel="1" collapsed="1" x14ac:dyDescent="0.25">
      <c r="A171" s="29"/>
      <c r="B171" s="14" t="str">
        <f>CONCATENATE("     ","Professional Services                             ")</f>
        <v xml:space="preserve">     Professional Services                             </v>
      </c>
      <c r="C171" s="14"/>
      <c r="D171" s="1">
        <f>SUM(OSRRefD22_14x_0)</f>
        <v>0</v>
      </c>
      <c r="E171" s="1"/>
      <c r="F171" s="5">
        <f t="shared" si="80"/>
        <v>0</v>
      </c>
      <c r="G171" s="1"/>
      <c r="H171" s="1">
        <f>SUM(OSRRefH22_14x_0)</f>
        <v>0</v>
      </c>
      <c r="I171" s="1"/>
      <c r="J171" s="5">
        <f t="shared" si="81"/>
        <v>0</v>
      </c>
      <c r="K171" s="1"/>
      <c r="L171" s="1">
        <f t="shared" si="82"/>
        <v>0</v>
      </c>
      <c r="M171" s="1"/>
      <c r="N171" s="5">
        <f t="shared" si="83"/>
        <v>0</v>
      </c>
      <c r="O171" s="14"/>
      <c r="P171" s="1">
        <f>SUM(OSRRefP22_14x_0)</f>
        <v>0</v>
      </c>
      <c r="Q171" s="1"/>
      <c r="R171" s="5">
        <f t="shared" si="84"/>
        <v>0</v>
      </c>
      <c r="S171" s="1"/>
      <c r="T171" s="1">
        <f>SUM(OSRRefT22_14x_0)</f>
        <v>7050</v>
      </c>
      <c r="U171" s="1"/>
      <c r="V171" s="5">
        <f t="shared" si="85"/>
        <v>9.6485769307041937E-4</v>
      </c>
      <c r="W171" s="1"/>
      <c r="X171" s="1">
        <f t="shared" si="86"/>
        <v>-7050</v>
      </c>
      <c r="Y171" s="1"/>
      <c r="Z171" s="5">
        <f t="shared" si="87"/>
        <v>-1</v>
      </c>
    </row>
    <row r="172" spans="1:26" s="24" customFormat="1" hidden="1" outlineLevel="2" x14ac:dyDescent="0.25">
      <c r="A172" s="27"/>
      <c r="B172" s="11" t="str">
        <f>CONCATENATE("          ", "6336", " - ", "PROFESSIONAL SERVICES")</f>
        <v xml:space="preserve">          6336 - PROFESSIONAL SERVICES</v>
      </c>
      <c r="C172" s="11"/>
      <c r="D172" s="7"/>
      <c r="E172" s="2"/>
      <c r="F172" s="6">
        <f t="shared" si="80"/>
        <v>0</v>
      </c>
      <c r="G172" s="2"/>
      <c r="H172" s="7">
        <v>0</v>
      </c>
      <c r="I172" s="2"/>
      <c r="J172" s="6">
        <f t="shared" si="81"/>
        <v>0</v>
      </c>
      <c r="K172" s="2"/>
      <c r="L172" s="7">
        <f t="shared" si="82"/>
        <v>0</v>
      </c>
      <c r="M172" s="2"/>
      <c r="N172" s="6">
        <f t="shared" si="83"/>
        <v>0</v>
      </c>
      <c r="O172" s="11"/>
      <c r="P172" s="7"/>
      <c r="Q172" s="2"/>
      <c r="R172" s="6">
        <f t="shared" si="84"/>
        <v>0</v>
      </c>
      <c r="S172" s="2"/>
      <c r="T172" s="7">
        <v>7050</v>
      </c>
      <c r="U172" s="2"/>
      <c r="V172" s="6">
        <f t="shared" si="85"/>
        <v>9.6485769307041937E-4</v>
      </c>
      <c r="W172" s="2"/>
      <c r="X172" s="7">
        <f t="shared" si="86"/>
        <v>-7050</v>
      </c>
      <c r="Y172" s="2"/>
      <c r="Z172" s="6">
        <f t="shared" si="87"/>
        <v>-1</v>
      </c>
    </row>
    <row r="173" spans="1:26" s="28" customFormat="1" outlineLevel="1" collapsed="1" x14ac:dyDescent="0.25">
      <c r="A173" s="29"/>
      <c r="B173" s="14" t="str">
        <f>CONCATENATE("     ","Rent                                              ")</f>
        <v xml:space="preserve">     Rent                                              </v>
      </c>
      <c r="C173" s="14"/>
      <c r="D173" s="1">
        <f>SUM(OSRRefD22_15x_0)</f>
        <v>6100</v>
      </c>
      <c r="E173" s="1"/>
      <c r="F173" s="5">
        <f t="shared" si="80"/>
        <v>3.007294167352962E-2</v>
      </c>
      <c r="G173" s="1"/>
      <c r="H173" s="1">
        <f>SUM(OSRRefH22_15x_0)</f>
        <v>6100</v>
      </c>
      <c r="I173" s="1"/>
      <c r="J173" s="5">
        <f t="shared" si="81"/>
        <v>9.174035974252542E-3</v>
      </c>
      <c r="K173" s="1"/>
      <c r="L173" s="1">
        <f t="shared" si="82"/>
        <v>0</v>
      </c>
      <c r="M173" s="1"/>
      <c r="N173" s="5">
        <f t="shared" si="83"/>
        <v>0</v>
      </c>
      <c r="O173" s="14"/>
      <c r="P173" s="1">
        <f>SUM(OSRRefP22_15x_0)</f>
        <v>48800</v>
      </c>
      <c r="Q173" s="1"/>
      <c r="R173" s="5">
        <f t="shared" si="84"/>
        <v>1.1959967811413192E-2</v>
      </c>
      <c r="S173" s="1"/>
      <c r="T173" s="1">
        <f>SUM(OSRRefT22_15x_0)</f>
        <v>48801</v>
      </c>
      <c r="U173" s="1"/>
      <c r="V173" s="5">
        <f t="shared" si="85"/>
        <v>6.6788681247559626E-3</v>
      </c>
      <c r="W173" s="1"/>
      <c r="X173" s="1">
        <f t="shared" si="86"/>
        <v>-1</v>
      </c>
      <c r="Y173" s="1"/>
      <c r="Z173" s="5">
        <f t="shared" si="87"/>
        <v>-2.0491383373291532E-5</v>
      </c>
    </row>
    <row r="174" spans="1:26" s="24" customFormat="1" hidden="1" outlineLevel="2" x14ac:dyDescent="0.25">
      <c r="A174" s="27"/>
      <c r="B174" s="11" t="str">
        <f>CONCATENATE("          ", "6273", " - ", "RENT")</f>
        <v xml:space="preserve">          6273 - RENT</v>
      </c>
      <c r="C174" s="11"/>
      <c r="D174" s="7">
        <v>6100</v>
      </c>
      <c r="E174" s="2"/>
      <c r="F174" s="6">
        <f t="shared" si="80"/>
        <v>3.007294167352962E-2</v>
      </c>
      <c r="G174" s="2"/>
      <c r="H174" s="7">
        <v>6100</v>
      </c>
      <c r="I174" s="2"/>
      <c r="J174" s="6">
        <f t="shared" si="81"/>
        <v>9.174035974252542E-3</v>
      </c>
      <c r="K174" s="2"/>
      <c r="L174" s="7">
        <f t="shared" si="82"/>
        <v>0</v>
      </c>
      <c r="M174" s="2"/>
      <c r="N174" s="6">
        <f t="shared" si="83"/>
        <v>0</v>
      </c>
      <c r="O174" s="11"/>
      <c r="P174" s="7">
        <v>48800</v>
      </c>
      <c r="Q174" s="2"/>
      <c r="R174" s="6">
        <f t="shared" si="84"/>
        <v>1.1959967811413192E-2</v>
      </c>
      <c r="S174" s="2"/>
      <c r="T174" s="7">
        <v>48801</v>
      </c>
      <c r="U174" s="2"/>
      <c r="V174" s="6">
        <f t="shared" si="85"/>
        <v>6.6788681247559626E-3</v>
      </c>
      <c r="W174" s="2"/>
      <c r="X174" s="7">
        <f t="shared" si="86"/>
        <v>-1</v>
      </c>
      <c r="Y174" s="2"/>
      <c r="Z174" s="6">
        <f t="shared" si="87"/>
        <v>-2.0491383373291532E-5</v>
      </c>
    </row>
    <row r="175" spans="1:26" s="28" customFormat="1" outlineLevel="1" collapsed="1" x14ac:dyDescent="0.25">
      <c r="A175" s="29"/>
      <c r="B175" s="14" t="str">
        <f>CONCATENATE("     ","Repair and Maintenance                            ")</f>
        <v xml:space="preserve">     Repair and Maintenance                            </v>
      </c>
      <c r="C175" s="14"/>
      <c r="D175" s="1">
        <f>SUM(OSRRefD22_16x_0)</f>
        <v>16129.08</v>
      </c>
      <c r="E175" s="1"/>
      <c r="F175" s="5">
        <f t="shared" si="80"/>
        <v>7.9516210178310356E-2</v>
      </c>
      <c r="G175" s="1"/>
      <c r="H175" s="1">
        <f>SUM(OSRRefH22_16x_0)</f>
        <v>14640</v>
      </c>
      <c r="I175" s="1"/>
      <c r="J175" s="5">
        <f t="shared" si="81"/>
        <v>2.20176863382061E-2</v>
      </c>
      <c r="K175" s="1"/>
      <c r="L175" s="1">
        <f t="shared" si="82"/>
        <v>1489.08</v>
      </c>
      <c r="M175" s="1"/>
      <c r="N175" s="5">
        <f t="shared" si="83"/>
        <v>0.10171311475409836</v>
      </c>
      <c r="O175" s="14"/>
      <c r="P175" s="1">
        <f>SUM(OSRRefP22_16x_0)</f>
        <v>128956.4</v>
      </c>
      <c r="Q175" s="1"/>
      <c r="R175" s="5">
        <f t="shared" si="84"/>
        <v>3.1604803136797623E-2</v>
      </c>
      <c r="S175" s="1"/>
      <c r="T175" s="1">
        <f>SUM(OSRRefT22_16x_0)</f>
        <v>161270</v>
      </c>
      <c r="U175" s="1"/>
      <c r="V175" s="5">
        <f t="shared" si="85"/>
        <v>2.2071290803044898E-2</v>
      </c>
      <c r="W175" s="1"/>
      <c r="X175" s="1">
        <f t="shared" si="86"/>
        <v>-32313.600000000006</v>
      </c>
      <c r="Y175" s="1"/>
      <c r="Z175" s="5">
        <f t="shared" si="87"/>
        <v>-0.20036956656538726</v>
      </c>
    </row>
    <row r="176" spans="1:26" s="24" customFormat="1" hidden="1" outlineLevel="2" x14ac:dyDescent="0.25">
      <c r="A176" s="27"/>
      <c r="B176" s="11" t="str">
        <f>CONCATENATE("          ", "6371", " - ", "COMPUTER SOFTWARE MAINTENANCE")</f>
        <v xml:space="preserve">          6371 - COMPUTER SOFTWARE MAINTENANCE</v>
      </c>
      <c r="C176" s="11"/>
      <c r="D176" s="7">
        <v>1331.25</v>
      </c>
      <c r="E176" s="2"/>
      <c r="F176" s="6">
        <f t="shared" si="80"/>
        <v>6.5630497709649686E-3</v>
      </c>
      <c r="G176" s="2"/>
      <c r="H176" s="7"/>
      <c r="I176" s="2"/>
      <c r="J176" s="6">
        <f t="shared" si="81"/>
        <v>0</v>
      </c>
      <c r="K176" s="2"/>
      <c r="L176" s="7">
        <f t="shared" si="82"/>
        <v>1331.25</v>
      </c>
      <c r="M176" s="2"/>
      <c r="N176" s="6">
        <f t="shared" si="83"/>
        <v>0</v>
      </c>
      <c r="O176" s="11"/>
      <c r="P176" s="7">
        <v>59767.719999999994</v>
      </c>
      <c r="Q176" s="2"/>
      <c r="R176" s="6">
        <f t="shared" si="84"/>
        <v>1.4647950970523698E-2</v>
      </c>
      <c r="S176" s="2"/>
      <c r="T176" s="7">
        <v>45000</v>
      </c>
      <c r="U176" s="2"/>
      <c r="V176" s="6">
        <f t="shared" si="85"/>
        <v>6.1586661259814008E-3</v>
      </c>
      <c r="W176" s="2"/>
      <c r="X176" s="7">
        <f t="shared" si="86"/>
        <v>14767.719999999994</v>
      </c>
      <c r="Y176" s="2"/>
      <c r="Z176" s="6">
        <f t="shared" si="87"/>
        <v>0.32817155555555544</v>
      </c>
    </row>
    <row r="177" spans="1:26" s="24" customFormat="1" hidden="1" outlineLevel="2" x14ac:dyDescent="0.25">
      <c r="A177" s="27"/>
      <c r="B177" s="11" t="str">
        <f>CONCATENATE("          ", "6372", " - ", "COMPUTER HARDWARE MAINTENANCE")</f>
        <v xml:space="preserve">          6372 - COMPUTER HARDWARE MAINTENANCE</v>
      </c>
      <c r="C177" s="11"/>
      <c r="D177" s="7">
        <v>-1.1499999999999999</v>
      </c>
      <c r="E177" s="2"/>
      <c r="F177" s="6">
        <f t="shared" si="80"/>
        <v>-5.6694890040260759E-6</v>
      </c>
      <c r="G177" s="2"/>
      <c r="H177" s="7"/>
      <c r="I177" s="2"/>
      <c r="J177" s="6">
        <f t="shared" si="81"/>
        <v>0</v>
      </c>
      <c r="K177" s="2"/>
      <c r="L177" s="7">
        <f t="shared" si="82"/>
        <v>-1.1499999999999999</v>
      </c>
      <c r="M177" s="2"/>
      <c r="N177" s="6">
        <f t="shared" si="83"/>
        <v>0</v>
      </c>
      <c r="O177" s="11"/>
      <c r="P177" s="7">
        <v>-1.1499999999999999</v>
      </c>
      <c r="Q177" s="2"/>
      <c r="R177" s="6">
        <f t="shared" si="84"/>
        <v>-2.8184350375256494E-7</v>
      </c>
      <c r="S177" s="2"/>
      <c r="T177" s="7"/>
      <c r="U177" s="2"/>
      <c r="V177" s="6">
        <f t="shared" si="85"/>
        <v>0</v>
      </c>
      <c r="W177" s="2"/>
      <c r="X177" s="7">
        <f t="shared" si="86"/>
        <v>-1.1499999999999999</v>
      </c>
      <c r="Y177" s="2"/>
      <c r="Z177" s="6">
        <f t="shared" si="87"/>
        <v>0</v>
      </c>
    </row>
    <row r="178" spans="1:26" s="24" customFormat="1" hidden="1" outlineLevel="2" x14ac:dyDescent="0.25">
      <c r="A178" s="27"/>
      <c r="B178" s="11" t="str">
        <f>CONCATENATE("          ", "6373", " - ", "MAINTENANCE CONTRACTS")</f>
        <v xml:space="preserve">          6373 - MAINTENANCE CONTRACTS</v>
      </c>
      <c r="C178" s="11"/>
      <c r="D178" s="7">
        <v>3372.5</v>
      </c>
      <c r="E178" s="2"/>
      <c r="F178" s="6">
        <f t="shared" si="80"/>
        <v>1.6626392753111254E-2</v>
      </c>
      <c r="G178" s="2"/>
      <c r="H178" s="7">
        <v>6040</v>
      </c>
      <c r="I178" s="2"/>
      <c r="J178" s="6">
        <f t="shared" si="81"/>
        <v>9.0837995548336634E-3</v>
      </c>
      <c r="K178" s="2"/>
      <c r="L178" s="7">
        <f t="shared" si="82"/>
        <v>-2667.5</v>
      </c>
      <c r="M178" s="2"/>
      <c r="N178" s="6">
        <f t="shared" si="83"/>
        <v>-0.44163907284768211</v>
      </c>
      <c r="O178" s="11"/>
      <c r="P178" s="7">
        <v>43426.68</v>
      </c>
      <c r="Q178" s="2"/>
      <c r="R178" s="6">
        <f t="shared" si="84"/>
        <v>1.0643067519601252E-2</v>
      </c>
      <c r="S178" s="2"/>
      <c r="T178" s="7">
        <v>48720</v>
      </c>
      <c r="U178" s="2"/>
      <c r="V178" s="6">
        <f t="shared" si="85"/>
        <v>6.667782525729196E-3</v>
      </c>
      <c r="W178" s="2"/>
      <c r="X178" s="7">
        <f t="shared" si="86"/>
        <v>-5293.32</v>
      </c>
      <c r="Y178" s="2"/>
      <c r="Z178" s="6">
        <f t="shared" si="87"/>
        <v>-0.10864778325123152</v>
      </c>
    </row>
    <row r="179" spans="1:26" s="24" customFormat="1" hidden="1" outlineLevel="2" x14ac:dyDescent="0.25">
      <c r="A179" s="27"/>
      <c r="B179" s="11" t="str">
        <f>CONCATENATE("          ", "6375", " - ", "OUTSIDE REPAIRS &amp; MAINTENANCE")</f>
        <v xml:space="preserve">          6375 - OUTSIDE REPAIRS &amp; MAINTENANCE</v>
      </c>
      <c r="C179" s="11"/>
      <c r="D179" s="7">
        <v>11426.48</v>
      </c>
      <c r="E179" s="2"/>
      <c r="F179" s="6">
        <f t="shared" si="80"/>
        <v>5.633243714323815E-2</v>
      </c>
      <c r="G179" s="2"/>
      <c r="H179" s="7">
        <v>8600</v>
      </c>
      <c r="I179" s="2"/>
      <c r="J179" s="6">
        <f t="shared" si="81"/>
        <v>1.2933886783372435E-2</v>
      </c>
      <c r="K179" s="2"/>
      <c r="L179" s="7">
        <f t="shared" si="82"/>
        <v>2826.4799999999996</v>
      </c>
      <c r="M179" s="2"/>
      <c r="N179" s="6">
        <f t="shared" si="83"/>
        <v>0.328660465116279</v>
      </c>
      <c r="O179" s="11"/>
      <c r="P179" s="7">
        <v>25763.15</v>
      </c>
      <c r="Q179" s="2"/>
      <c r="R179" s="6">
        <f t="shared" si="84"/>
        <v>6.3140664901764308E-3</v>
      </c>
      <c r="S179" s="2"/>
      <c r="T179" s="7">
        <v>67550</v>
      </c>
      <c r="U179" s="2"/>
      <c r="V179" s="6">
        <f t="shared" si="85"/>
        <v>9.2448421513343024E-3</v>
      </c>
      <c r="W179" s="2"/>
      <c r="X179" s="7">
        <f t="shared" si="86"/>
        <v>-41786.85</v>
      </c>
      <c r="Y179" s="2"/>
      <c r="Z179" s="6">
        <f t="shared" si="87"/>
        <v>-0.6186062176165803</v>
      </c>
    </row>
    <row r="180" spans="1:26" s="28" customFormat="1" outlineLevel="1" collapsed="1" x14ac:dyDescent="0.25">
      <c r="A180" s="29"/>
      <c r="B180" s="14" t="str">
        <f>CONCATENATE("     ","Royalty &amp; Commissions                             ")</f>
        <v xml:space="preserve">     Royalty &amp; Commissions                             </v>
      </c>
      <c r="C180" s="14"/>
      <c r="D180" s="1">
        <f>SUM(OSRRefD22_17x_0)</f>
        <v>468.34</v>
      </c>
      <c r="E180" s="1"/>
      <c r="F180" s="5">
        <f t="shared" ref="F180:F184" si="88">IF(D$12=0,0,D180/D$12)</f>
        <v>2.3089117218657151E-3</v>
      </c>
      <c r="G180" s="1"/>
      <c r="H180" s="1">
        <f>SUM(OSRRefH22_17x_0)</f>
        <v>15571</v>
      </c>
      <c r="I180" s="1"/>
      <c r="J180" s="5">
        <f t="shared" ref="J180:J184" si="89">IF(H$12=0,0,H180/H$12)</f>
        <v>2.3417854779522348E-2</v>
      </c>
      <c r="K180" s="1"/>
      <c r="L180" s="1">
        <f t="shared" ref="L180:L184" si="90">+D180-H180</f>
        <v>-15102.66</v>
      </c>
      <c r="M180" s="1"/>
      <c r="N180" s="5">
        <f t="shared" ref="N180:N184" si="91">IF(H180=0,0,L180/H180)</f>
        <v>-0.96992229143921393</v>
      </c>
      <c r="O180" s="14"/>
      <c r="P180" s="1">
        <f>SUM(OSRRefP22_17x_0)</f>
        <v>36833.990000000005</v>
      </c>
      <c r="Q180" s="1"/>
      <c r="R180" s="5">
        <f t="shared" ref="R180:R184" si="92">IF(P$12=0,0,P180/P$12)</f>
        <v>9.0273224337277767E-3</v>
      </c>
      <c r="S180" s="1"/>
      <c r="T180" s="1">
        <f>SUM(OSRRefT22_17x_0)</f>
        <v>69518</v>
      </c>
      <c r="U180" s="1"/>
      <c r="V180" s="5">
        <f t="shared" ref="V180:V184" si="93">IF(T$12=0,0,T180/T$12)</f>
        <v>9.5141811499105562E-3</v>
      </c>
      <c r="W180" s="1"/>
      <c r="X180" s="1">
        <f t="shared" ref="X180:X184" si="94">+P180-T180</f>
        <v>-32684.009999999995</v>
      </c>
      <c r="Y180" s="1"/>
      <c r="Z180" s="5">
        <f t="shared" ref="Z180:Z184" si="95">IF(T180=0,0,X180/T180)</f>
        <v>-0.47015175925659536</v>
      </c>
    </row>
    <row r="181" spans="1:26" s="24" customFormat="1" hidden="1" outlineLevel="2" x14ac:dyDescent="0.25">
      <c r="A181" s="27"/>
      <c r="B181" s="11" t="str">
        <f>CONCATENATE("          ", "6252", " - ", "ROYALTY DUE CSTV")</f>
        <v xml:space="preserve">          6252 - ROYALTY DUE CSTV</v>
      </c>
      <c r="C181" s="11"/>
      <c r="D181" s="7"/>
      <c r="E181" s="2"/>
      <c r="F181" s="6">
        <f t="shared" si="88"/>
        <v>0</v>
      </c>
      <c r="G181" s="2"/>
      <c r="H181" s="7">
        <v>1085</v>
      </c>
      <c r="I181" s="2"/>
      <c r="J181" s="6">
        <f t="shared" si="89"/>
        <v>1.6317752511580341E-3</v>
      </c>
      <c r="K181" s="2"/>
      <c r="L181" s="7">
        <f t="shared" si="90"/>
        <v>-1085</v>
      </c>
      <c r="M181" s="2"/>
      <c r="N181" s="6">
        <f t="shared" si="91"/>
        <v>-1</v>
      </c>
      <c r="O181" s="11"/>
      <c r="P181" s="7"/>
      <c r="Q181" s="2"/>
      <c r="R181" s="6">
        <f t="shared" si="92"/>
        <v>0</v>
      </c>
      <c r="S181" s="2"/>
      <c r="T181" s="7">
        <v>8680</v>
      </c>
      <c r="U181" s="2"/>
      <c r="V181" s="6">
        <f t="shared" si="93"/>
        <v>1.1879382660781902E-3</v>
      </c>
      <c r="W181" s="2"/>
      <c r="X181" s="7">
        <f t="shared" si="94"/>
        <v>-8680</v>
      </c>
      <c r="Y181" s="2"/>
      <c r="Z181" s="6">
        <f t="shared" si="95"/>
        <v>-1</v>
      </c>
    </row>
    <row r="182" spans="1:26" s="24" customFormat="1" hidden="1" outlineLevel="2" x14ac:dyDescent="0.25">
      <c r="A182" s="27"/>
      <c r="B182" s="11" t="str">
        <f>CONCATENATE("          ", "6253", " - ", "ROYALTY DUE ATHLETICS-LRG")</f>
        <v xml:space="preserve">          6253 - ROYALTY DUE ATHLETICS-LRG</v>
      </c>
      <c r="C182" s="11"/>
      <c r="D182" s="7"/>
      <c r="E182" s="2"/>
      <c r="F182" s="6">
        <f t="shared" si="88"/>
        <v>0</v>
      </c>
      <c r="G182" s="2"/>
      <c r="H182" s="7">
        <v>4037</v>
      </c>
      <c r="I182" s="2"/>
      <c r="J182" s="6">
        <f t="shared" si="89"/>
        <v>6.071407086566805E-3</v>
      </c>
      <c r="K182" s="2"/>
      <c r="L182" s="7">
        <f t="shared" si="90"/>
        <v>-4037</v>
      </c>
      <c r="M182" s="2"/>
      <c r="N182" s="6">
        <f t="shared" si="91"/>
        <v>-1</v>
      </c>
      <c r="O182" s="11"/>
      <c r="P182" s="7">
        <v>26197.58</v>
      </c>
      <c r="Q182" s="2"/>
      <c r="R182" s="6">
        <f t="shared" si="92"/>
        <v>6.4205371626418449E-3</v>
      </c>
      <c r="S182" s="2"/>
      <c r="T182" s="7">
        <v>32296</v>
      </c>
      <c r="U182" s="2"/>
      <c r="V182" s="6">
        <f t="shared" si="93"/>
        <v>4.4200062489932294E-3</v>
      </c>
      <c r="W182" s="2"/>
      <c r="X182" s="7">
        <f t="shared" si="94"/>
        <v>-6098.4199999999983</v>
      </c>
      <c r="Y182" s="2"/>
      <c r="Z182" s="6">
        <f t="shared" si="95"/>
        <v>-0.18882895714639578</v>
      </c>
    </row>
    <row r="183" spans="1:26" s="24" customFormat="1" hidden="1" outlineLevel="2" x14ac:dyDescent="0.25">
      <c r="A183" s="27"/>
      <c r="B183" s="11" t="str">
        <f>CONCATENATE("          ", "6254", " - ", "ROYALTY &amp; COMMISSIONS")</f>
        <v xml:space="preserve">          6254 - ROYALTY &amp; COMMISSIONS</v>
      </c>
      <c r="C183" s="11"/>
      <c r="D183" s="7"/>
      <c r="E183" s="2"/>
      <c r="F183" s="6">
        <f t="shared" si="88"/>
        <v>0</v>
      </c>
      <c r="G183" s="2"/>
      <c r="H183" s="7">
        <v>1149</v>
      </c>
      <c r="I183" s="2"/>
      <c r="J183" s="6">
        <f t="shared" si="89"/>
        <v>1.7280274318715034E-3</v>
      </c>
      <c r="K183" s="2"/>
      <c r="L183" s="7">
        <f t="shared" si="90"/>
        <v>-1149</v>
      </c>
      <c r="M183" s="2"/>
      <c r="N183" s="6">
        <f t="shared" si="91"/>
        <v>-1</v>
      </c>
      <c r="O183" s="11"/>
      <c r="P183" s="7"/>
      <c r="Q183" s="2"/>
      <c r="R183" s="6">
        <f t="shared" si="92"/>
        <v>0</v>
      </c>
      <c r="S183" s="2"/>
      <c r="T183" s="7">
        <v>9192</v>
      </c>
      <c r="U183" s="2"/>
      <c r="V183" s="6">
        <f t="shared" si="93"/>
        <v>1.2580102006671341E-3</v>
      </c>
      <c r="W183" s="2"/>
      <c r="X183" s="7">
        <f t="shared" si="94"/>
        <v>-9192</v>
      </c>
      <c r="Y183" s="2"/>
      <c r="Z183" s="6">
        <f t="shared" si="95"/>
        <v>-1</v>
      </c>
    </row>
    <row r="184" spans="1:26" s="24" customFormat="1" hidden="1" outlineLevel="2" x14ac:dyDescent="0.25">
      <c r="A184" s="27"/>
      <c r="B184" s="11" t="str">
        <f>CONCATENATE("          ", "6259", " - ", "ROYALTY &amp; COMMISSIONS")</f>
        <v xml:space="preserve">          6259 - ROYALTY &amp; COMMISSIONS</v>
      </c>
      <c r="C184" s="11"/>
      <c r="D184" s="7">
        <v>468.34</v>
      </c>
      <c r="E184" s="2"/>
      <c r="F184" s="6">
        <f t="shared" si="88"/>
        <v>2.3089117218657151E-3</v>
      </c>
      <c r="G184" s="2"/>
      <c r="H184" s="7">
        <v>9300</v>
      </c>
      <c r="I184" s="2"/>
      <c r="J184" s="6">
        <f t="shared" si="89"/>
        <v>1.3986645009926007E-2</v>
      </c>
      <c r="K184" s="2"/>
      <c r="L184" s="7">
        <f t="shared" si="90"/>
        <v>-8831.66</v>
      </c>
      <c r="M184" s="2"/>
      <c r="N184" s="6">
        <f t="shared" si="91"/>
        <v>-0.94964086021505378</v>
      </c>
      <c r="O184" s="11"/>
      <c r="P184" s="7">
        <v>10636.41</v>
      </c>
      <c r="Q184" s="2"/>
      <c r="R184" s="6">
        <f t="shared" si="92"/>
        <v>2.6067852710859301E-3</v>
      </c>
      <c r="S184" s="2"/>
      <c r="T184" s="7">
        <v>19350</v>
      </c>
      <c r="U184" s="2"/>
      <c r="V184" s="6">
        <f t="shared" si="93"/>
        <v>2.6482264341720022E-3</v>
      </c>
      <c r="W184" s="2"/>
      <c r="X184" s="7">
        <f t="shared" si="94"/>
        <v>-8713.59</v>
      </c>
      <c r="Y184" s="2"/>
      <c r="Z184" s="6">
        <f t="shared" si="95"/>
        <v>-0.45031472868217054</v>
      </c>
    </row>
    <row r="185" spans="1:26" s="28" customFormat="1" outlineLevel="1" collapsed="1" x14ac:dyDescent="0.25">
      <c r="A185" s="29"/>
      <c r="B185" s="14" t="str">
        <f>CONCATENATE("     ","Services                                          ")</f>
        <v xml:space="preserve">     Services                                          </v>
      </c>
      <c r="C185" s="14"/>
      <c r="D185" s="1">
        <f>SUM(OSRRefD22_18x_0)</f>
        <v>3932.57</v>
      </c>
      <c r="E185" s="1"/>
      <c r="F185" s="5">
        <f t="shared" ref="F185:F189" si="96">IF(D$12=0,0,D185/D$12)</f>
        <v>1.9387532497880718E-2</v>
      </c>
      <c r="G185" s="1"/>
      <c r="H185" s="1">
        <f>SUM(OSRRefH22_18x_0)</f>
        <v>4729</v>
      </c>
      <c r="I185" s="1"/>
      <c r="J185" s="5">
        <f t="shared" ref="J185:J189" si="97">IF(H$12=0,0,H185/H$12)</f>
        <v>7.1121337905311914E-3</v>
      </c>
      <c r="K185" s="1"/>
      <c r="L185" s="1">
        <f t="shared" ref="L185:L189" si="98">+D185-H185</f>
        <v>-796.42999999999984</v>
      </c>
      <c r="M185" s="1"/>
      <c r="N185" s="5">
        <f t="shared" ref="N185:N189" si="99">IF(H185=0,0,L185/H185)</f>
        <v>-0.16841404102347216</v>
      </c>
      <c r="O185" s="14"/>
      <c r="P185" s="1">
        <f>SUM(OSRRefP22_18x_0)</f>
        <v>28661.89</v>
      </c>
      <c r="Q185" s="1"/>
      <c r="R185" s="5">
        <f t="shared" ref="R185:R189" si="100">IF(P$12=0,0,P185/P$12)</f>
        <v>7.0244934798005254E-3</v>
      </c>
      <c r="S185" s="1"/>
      <c r="T185" s="1">
        <f>SUM(OSRRefT22_18x_0)</f>
        <v>37993</v>
      </c>
      <c r="U185" s="1"/>
      <c r="V185" s="5">
        <f t="shared" ref="V185:V189" si="101">IF(T$12=0,0,T185/T$12)</f>
        <v>5.1996933805424743E-3</v>
      </c>
      <c r="W185" s="1"/>
      <c r="X185" s="1">
        <f t="shared" ref="X185:X189" si="102">+P185-T185</f>
        <v>-9331.11</v>
      </c>
      <c r="Y185" s="1"/>
      <c r="Z185" s="5">
        <f t="shared" ref="Z185:Z189" si="103">IF(T185=0,0,X185/T185)</f>
        <v>-0.24560076856262997</v>
      </c>
    </row>
    <row r="186" spans="1:26" s="24" customFormat="1" hidden="1" outlineLevel="2" x14ac:dyDescent="0.25">
      <c r="A186" s="27"/>
      <c r="B186" s="11" t="str">
        <f>CONCATENATE("          ", "6282", " - ", "JANITORIAL/EXTERMINATOR EXPENS")</f>
        <v xml:space="preserve">          6282 - JANITORIAL/EXTERMINATOR EXPENS</v>
      </c>
      <c r="C186" s="11"/>
      <c r="D186" s="7"/>
      <c r="E186" s="2"/>
      <c r="F186" s="6">
        <f t="shared" si="96"/>
        <v>0</v>
      </c>
      <c r="G186" s="2"/>
      <c r="H186" s="7">
        <v>4000</v>
      </c>
      <c r="I186" s="2"/>
      <c r="J186" s="6">
        <f t="shared" si="97"/>
        <v>6.0157612945918306E-3</v>
      </c>
      <c r="K186" s="2"/>
      <c r="L186" s="7">
        <f t="shared" si="98"/>
        <v>-4000</v>
      </c>
      <c r="M186" s="2"/>
      <c r="N186" s="6">
        <f t="shared" si="99"/>
        <v>-1</v>
      </c>
      <c r="O186" s="11"/>
      <c r="P186" s="7">
        <v>6953.12</v>
      </c>
      <c r="Q186" s="2"/>
      <c r="R186" s="6">
        <f t="shared" si="100"/>
        <v>1.7040797415756822E-3</v>
      </c>
      <c r="S186" s="2"/>
      <c r="T186" s="7">
        <v>32000</v>
      </c>
      <c r="U186" s="2"/>
      <c r="V186" s="6">
        <f t="shared" si="101"/>
        <v>4.3794959118089961E-3</v>
      </c>
      <c r="W186" s="2"/>
      <c r="X186" s="7">
        <f t="shared" si="102"/>
        <v>-25046.880000000001</v>
      </c>
      <c r="Y186" s="2"/>
      <c r="Z186" s="6">
        <f t="shared" si="103"/>
        <v>-0.78271500000000005</v>
      </c>
    </row>
    <row r="187" spans="1:26" s="24" customFormat="1" hidden="1" outlineLevel="2" x14ac:dyDescent="0.25">
      <c r="A187" s="27"/>
      <c r="B187" s="11" t="str">
        <f>CONCATENATE("          ", "6283", " - ", "PLANT SERVICE")</f>
        <v xml:space="preserve">          6283 - PLANT SERVICE</v>
      </c>
      <c r="C187" s="11"/>
      <c r="D187" s="7"/>
      <c r="E187" s="2"/>
      <c r="F187" s="6">
        <f t="shared" si="96"/>
        <v>0</v>
      </c>
      <c r="G187" s="2"/>
      <c r="H187" s="7">
        <v>0</v>
      </c>
      <c r="I187" s="2"/>
      <c r="J187" s="6">
        <f t="shared" si="97"/>
        <v>0</v>
      </c>
      <c r="K187" s="2"/>
      <c r="L187" s="7">
        <f t="shared" si="98"/>
        <v>0</v>
      </c>
      <c r="M187" s="2"/>
      <c r="N187" s="6">
        <f t="shared" si="99"/>
        <v>0</v>
      </c>
      <c r="O187" s="11"/>
      <c r="P187" s="7">
        <v>171.31</v>
      </c>
      <c r="Q187" s="2"/>
      <c r="R187" s="6">
        <f t="shared" si="100"/>
        <v>4.1984878806827747E-5</v>
      </c>
      <c r="S187" s="2"/>
      <c r="T187" s="7">
        <v>0</v>
      </c>
      <c r="U187" s="2"/>
      <c r="V187" s="6">
        <f t="shared" si="101"/>
        <v>0</v>
      </c>
      <c r="W187" s="2"/>
      <c r="X187" s="7">
        <f t="shared" si="102"/>
        <v>171.31</v>
      </c>
      <c r="Y187" s="2"/>
      <c r="Z187" s="6">
        <f t="shared" si="103"/>
        <v>0</v>
      </c>
    </row>
    <row r="188" spans="1:26" s="24" customFormat="1" hidden="1" outlineLevel="2" x14ac:dyDescent="0.25">
      <c r="A188" s="27"/>
      <c r="B188" s="11" t="str">
        <f>CONCATENATE("          ", "6284", " - ", "TRASH REMOVAL EXPENSE")</f>
        <v xml:space="preserve">          6284 - TRASH REMOVAL EXPENSE</v>
      </c>
      <c r="C188" s="11"/>
      <c r="D188" s="7">
        <v>142.57</v>
      </c>
      <c r="E188" s="2"/>
      <c r="F188" s="6">
        <f t="shared" si="96"/>
        <v>7.0286873678608488E-4</v>
      </c>
      <c r="G188" s="2"/>
      <c r="H188" s="7">
        <v>55</v>
      </c>
      <c r="I188" s="2"/>
      <c r="J188" s="6">
        <f t="shared" si="97"/>
        <v>8.2716717800637666E-5</v>
      </c>
      <c r="K188" s="2"/>
      <c r="L188" s="7">
        <f t="shared" si="98"/>
        <v>87.57</v>
      </c>
      <c r="M188" s="2"/>
      <c r="N188" s="6">
        <f t="shared" si="99"/>
        <v>1.5921818181818181</v>
      </c>
      <c r="O188" s="11"/>
      <c r="P188" s="7">
        <v>1155.58</v>
      </c>
      <c r="Q188" s="2"/>
      <c r="R188" s="6">
        <f t="shared" si="100"/>
        <v>2.8321105744903393E-4</v>
      </c>
      <c r="S188" s="2"/>
      <c r="T188" s="7">
        <v>550</v>
      </c>
      <c r="U188" s="2"/>
      <c r="V188" s="6">
        <f t="shared" si="101"/>
        <v>7.5272585984217116E-5</v>
      </c>
      <c r="W188" s="2"/>
      <c r="X188" s="7">
        <f t="shared" si="102"/>
        <v>605.57999999999993</v>
      </c>
      <c r="Y188" s="2"/>
      <c r="Z188" s="6">
        <f t="shared" si="103"/>
        <v>1.1010545454545453</v>
      </c>
    </row>
    <row r="189" spans="1:26" s="24" customFormat="1" hidden="1" outlineLevel="2" x14ac:dyDescent="0.25">
      <c r="A189" s="27"/>
      <c r="B189" s="11" t="str">
        <f>CONCATENATE("          ", "6285", " - ", "JANITORIAL SERVICES")</f>
        <v xml:space="preserve">          6285 - JANITORIAL SERVICES</v>
      </c>
      <c r="C189" s="11"/>
      <c r="D189" s="7">
        <v>3790</v>
      </c>
      <c r="E189" s="2"/>
      <c r="F189" s="6">
        <f t="shared" si="96"/>
        <v>1.8684663761094632E-2</v>
      </c>
      <c r="G189" s="2"/>
      <c r="H189" s="7">
        <v>674</v>
      </c>
      <c r="I189" s="2"/>
      <c r="J189" s="6">
        <f t="shared" si="97"/>
        <v>1.0136557781387234E-3</v>
      </c>
      <c r="K189" s="2"/>
      <c r="L189" s="7">
        <f t="shared" si="98"/>
        <v>3116</v>
      </c>
      <c r="M189" s="2"/>
      <c r="N189" s="6">
        <f t="shared" si="99"/>
        <v>4.6231454005934722</v>
      </c>
      <c r="O189" s="11"/>
      <c r="P189" s="7">
        <v>20381.88</v>
      </c>
      <c r="Q189" s="2"/>
      <c r="R189" s="6">
        <f t="shared" si="100"/>
        <v>4.9952178019689823E-3</v>
      </c>
      <c r="S189" s="2"/>
      <c r="T189" s="7">
        <v>5443</v>
      </c>
      <c r="U189" s="2"/>
      <c r="V189" s="6">
        <f t="shared" si="101"/>
        <v>7.4492488274926138E-4</v>
      </c>
      <c r="W189" s="2"/>
      <c r="X189" s="7">
        <f t="shared" si="102"/>
        <v>14938.880000000001</v>
      </c>
      <c r="Y189" s="2"/>
      <c r="Z189" s="6">
        <f t="shared" si="103"/>
        <v>2.744604078633107</v>
      </c>
    </row>
    <row r="190" spans="1:26" s="28" customFormat="1" outlineLevel="1" collapsed="1" x14ac:dyDescent="0.25">
      <c r="A190" s="29"/>
      <c r="B190" s="14" t="str">
        <f>CONCATENATE("     ","Subscriptions &amp; Dues                              ")</f>
        <v xml:space="preserve">     Subscriptions &amp; Dues                              </v>
      </c>
      <c r="C190" s="14"/>
      <c r="D190" s="1">
        <f>SUM(OSRRefD22_19x_0)</f>
        <v>181.41</v>
      </c>
      <c r="E190" s="1"/>
      <c r="F190" s="5">
        <f t="shared" ref="F190:F192" si="104">IF(D$12=0,0,D190/D$12)</f>
        <v>8.9434956540901779E-4</v>
      </c>
      <c r="G190" s="1"/>
      <c r="H190" s="1">
        <f>SUM(OSRRefH22_19x_0)</f>
        <v>1100</v>
      </c>
      <c r="I190" s="1"/>
      <c r="J190" s="5">
        <f t="shared" ref="J190:J192" si="105">IF(H$12=0,0,H190/H$12)</f>
        <v>1.6543343560127535E-3</v>
      </c>
      <c r="K190" s="1"/>
      <c r="L190" s="1">
        <f t="shared" ref="L190:L192" si="106">+D190-H190</f>
        <v>-918.59</v>
      </c>
      <c r="M190" s="1"/>
      <c r="N190" s="5">
        <f t="shared" ref="N190:N192" si="107">IF(H190=0,0,L190/H190)</f>
        <v>-0.83508181818181826</v>
      </c>
      <c r="O190" s="14"/>
      <c r="P190" s="1">
        <f>SUM(OSRRefP22_19x_0)</f>
        <v>4026.54</v>
      </c>
      <c r="Q190" s="1"/>
      <c r="R190" s="5">
        <f t="shared" ref="R190:R192" si="108">IF(P$12=0,0,P190/P$12)</f>
        <v>9.8682968834769833E-4</v>
      </c>
      <c r="S190" s="1"/>
      <c r="T190" s="1">
        <f>SUM(OSRRefT22_19x_0)</f>
        <v>10195</v>
      </c>
      <c r="U190" s="1"/>
      <c r="V190" s="5">
        <f t="shared" ref="V190:V192" si="109">IF(T$12=0,0,T190/T$12)</f>
        <v>1.3952800256528974E-3</v>
      </c>
      <c r="W190" s="1"/>
      <c r="X190" s="1">
        <f t="shared" ref="X190:X192" si="110">+P190-T190</f>
        <v>-6168.46</v>
      </c>
      <c r="Y190" s="1"/>
      <c r="Z190" s="5">
        <f t="shared" ref="Z190:Z192" si="111">IF(T190=0,0,X190/T190)</f>
        <v>-0.605047572339382</v>
      </c>
    </row>
    <row r="191" spans="1:26" s="24" customFormat="1" hidden="1" outlineLevel="2" x14ac:dyDescent="0.25">
      <c r="A191" s="27"/>
      <c r="B191" s="11" t="str">
        <f>CONCATENATE("          ", "6258", " - ", "MEMBERSHIP DUES")</f>
        <v xml:space="preserve">          6258 - MEMBERSHIP DUES</v>
      </c>
      <c r="C191" s="11"/>
      <c r="D191" s="7">
        <v>181.41</v>
      </c>
      <c r="E191" s="2"/>
      <c r="F191" s="6">
        <f t="shared" si="104"/>
        <v>8.9434956540901779E-4</v>
      </c>
      <c r="G191" s="2"/>
      <c r="H191" s="7">
        <v>1100</v>
      </c>
      <c r="I191" s="2"/>
      <c r="J191" s="6">
        <f t="shared" si="105"/>
        <v>1.6543343560127535E-3</v>
      </c>
      <c r="K191" s="2"/>
      <c r="L191" s="7">
        <f t="shared" si="106"/>
        <v>-918.59</v>
      </c>
      <c r="M191" s="2"/>
      <c r="N191" s="6">
        <f t="shared" si="107"/>
        <v>-0.83508181818181826</v>
      </c>
      <c r="O191" s="11"/>
      <c r="P191" s="7">
        <v>1873.73</v>
      </c>
      <c r="Q191" s="2"/>
      <c r="R191" s="6">
        <f t="shared" si="108"/>
        <v>4.5921619850982054E-4</v>
      </c>
      <c r="S191" s="2"/>
      <c r="T191" s="7">
        <v>10195</v>
      </c>
      <c r="U191" s="2"/>
      <c r="V191" s="6">
        <f t="shared" si="109"/>
        <v>1.3952800256528974E-3</v>
      </c>
      <c r="W191" s="2"/>
      <c r="X191" s="7">
        <f t="shared" si="110"/>
        <v>-8321.27</v>
      </c>
      <c r="Y191" s="2"/>
      <c r="Z191" s="6">
        <f t="shared" si="111"/>
        <v>-0.81621088769004413</v>
      </c>
    </row>
    <row r="192" spans="1:26" s="24" customFormat="1" hidden="1" outlineLevel="2" x14ac:dyDescent="0.25">
      <c r="A192" s="27"/>
      <c r="B192" s="11" t="str">
        <f>CONCATENATE("          ", "6275", " - ", "SUBSCRIPTIONS")</f>
        <v xml:space="preserve">          6275 - SUBSCRIPTIONS</v>
      </c>
      <c r="C192" s="11"/>
      <c r="D192" s="7"/>
      <c r="E192" s="2"/>
      <c r="F192" s="6">
        <f t="shared" si="104"/>
        <v>0</v>
      </c>
      <c r="G192" s="2"/>
      <c r="H192" s="7">
        <v>0</v>
      </c>
      <c r="I192" s="2"/>
      <c r="J192" s="6">
        <f t="shared" si="105"/>
        <v>0</v>
      </c>
      <c r="K192" s="2"/>
      <c r="L192" s="7">
        <f t="shared" si="106"/>
        <v>0</v>
      </c>
      <c r="M192" s="2"/>
      <c r="N192" s="6">
        <f t="shared" si="107"/>
        <v>0</v>
      </c>
      <c r="O192" s="11"/>
      <c r="P192" s="7">
        <v>2152.81</v>
      </c>
      <c r="Q192" s="2"/>
      <c r="R192" s="6">
        <f t="shared" si="108"/>
        <v>5.2761348983787774E-4</v>
      </c>
      <c r="S192" s="2"/>
      <c r="T192" s="7">
        <v>0</v>
      </c>
      <c r="U192" s="2"/>
      <c r="V192" s="6">
        <f t="shared" si="109"/>
        <v>0</v>
      </c>
      <c r="W192" s="2"/>
      <c r="X192" s="7">
        <f t="shared" si="110"/>
        <v>2152.81</v>
      </c>
      <c r="Y192" s="2"/>
      <c r="Z192" s="6">
        <f t="shared" si="111"/>
        <v>0</v>
      </c>
    </row>
    <row r="193" spans="1:26" s="28" customFormat="1" outlineLevel="1" collapsed="1" x14ac:dyDescent="0.25">
      <c r="A193" s="29"/>
      <c r="B193" s="14" t="str">
        <f>CONCATENATE("     ","Supplies                                          ")</f>
        <v xml:space="preserve">     Supplies                                          </v>
      </c>
      <c r="C193" s="14"/>
      <c r="D193" s="1">
        <f>SUM(OSRRefD22_20x_0)</f>
        <v>7904.01</v>
      </c>
      <c r="E193" s="1"/>
      <c r="F193" s="5">
        <f t="shared" ref="F193:F202" si="112">IF(D$12=0,0,D193/D$12)</f>
        <v>3.8966693724097522E-2</v>
      </c>
      <c r="G193" s="1"/>
      <c r="H193" s="1">
        <f>SUM(OSRRefH22_20x_0)</f>
        <v>7410</v>
      </c>
      <c r="I193" s="1"/>
      <c r="J193" s="5">
        <f t="shared" ref="J193:J202" si="113">IF(H$12=0,0,H193/H$12)</f>
        <v>1.1144197798231366E-2</v>
      </c>
      <c r="K193" s="1"/>
      <c r="L193" s="1">
        <f t="shared" ref="L193:L202" si="114">+D193-H193</f>
        <v>494.01000000000022</v>
      </c>
      <c r="M193" s="1"/>
      <c r="N193" s="5">
        <f t="shared" ref="N193:N202" si="115">IF(H193=0,0,L193/H193)</f>
        <v>6.6668016194332019E-2</v>
      </c>
      <c r="O193" s="14"/>
      <c r="P193" s="1">
        <f>SUM(OSRRefP22_20x_0)</f>
        <v>98906.610000000015</v>
      </c>
      <c r="Q193" s="1"/>
      <c r="R193" s="5">
        <f t="shared" ref="R193:R202" si="116">IF(P$12=0,0,P193/P$12)</f>
        <v>2.4240161310163901E-2</v>
      </c>
      <c r="S193" s="1"/>
      <c r="T193" s="1">
        <f>SUM(OSRRefT22_20x_0)</f>
        <v>122165</v>
      </c>
      <c r="U193" s="1"/>
      <c r="V193" s="5">
        <f t="shared" ref="V193:V202" si="117">IF(T$12=0,0,T193/T$12)</f>
        <v>1.6719409939567061E-2</v>
      </c>
      <c r="W193" s="1"/>
      <c r="X193" s="1">
        <f t="shared" ref="X193:X202" si="118">+P193-T193</f>
        <v>-23258.389999999985</v>
      </c>
      <c r="Y193" s="1"/>
      <c r="Z193" s="5">
        <f t="shared" ref="Z193:Z202" si="119">IF(T193=0,0,X193/T193)</f>
        <v>-0.19038505300208722</v>
      </c>
    </row>
    <row r="194" spans="1:26" s="24" customFormat="1" hidden="1" outlineLevel="2" x14ac:dyDescent="0.25">
      <c r="A194" s="27"/>
      <c r="B194" s="11" t="str">
        <f>CONCATENATE("          ", "6234", " - ", "EXPENDABLE SUPPLIES &amp; EQUIPMEN")</f>
        <v xml:space="preserve">          6234 - EXPENDABLE SUPPLIES &amp; EQUIPMEN</v>
      </c>
      <c r="C194" s="11"/>
      <c r="D194" s="7"/>
      <c r="E194" s="2"/>
      <c r="F194" s="6">
        <f t="shared" si="112"/>
        <v>0</v>
      </c>
      <c r="G194" s="2"/>
      <c r="H194" s="7">
        <v>150</v>
      </c>
      <c r="I194" s="2"/>
      <c r="J194" s="6">
        <f t="shared" si="113"/>
        <v>2.2559104854719364E-4</v>
      </c>
      <c r="K194" s="2"/>
      <c r="L194" s="7">
        <f t="shared" si="114"/>
        <v>-150</v>
      </c>
      <c r="M194" s="2"/>
      <c r="N194" s="6">
        <f t="shared" si="115"/>
        <v>-1</v>
      </c>
      <c r="O194" s="11"/>
      <c r="P194" s="7">
        <v>-52.84</v>
      </c>
      <c r="Q194" s="2"/>
      <c r="R194" s="6">
        <f t="shared" si="116"/>
        <v>-1.2950096294161335E-5</v>
      </c>
      <c r="S194" s="2"/>
      <c r="T194" s="7">
        <v>1200</v>
      </c>
      <c r="U194" s="2"/>
      <c r="V194" s="6">
        <f t="shared" si="117"/>
        <v>1.6423109669283734E-4</v>
      </c>
      <c r="W194" s="2"/>
      <c r="X194" s="7">
        <f t="shared" si="118"/>
        <v>-1252.8399999999999</v>
      </c>
      <c r="Y194" s="2"/>
      <c r="Z194" s="6">
        <f t="shared" si="119"/>
        <v>-1.0440333333333334</v>
      </c>
    </row>
    <row r="195" spans="1:26" s="24" customFormat="1" hidden="1" outlineLevel="2" x14ac:dyDescent="0.25">
      <c r="A195" s="27"/>
      <c r="B195" s="11" t="str">
        <f>CONCATENATE("          ", "6235", " - ", "COVID-19 EXPENSES")</f>
        <v xml:space="preserve">          6235 - COVID-19 EXPENSES</v>
      </c>
      <c r="C195" s="11"/>
      <c r="D195" s="7">
        <v>2992.14</v>
      </c>
      <c r="E195" s="2"/>
      <c r="F195" s="6">
        <f t="shared" si="112"/>
        <v>1.4751221590005723E-2</v>
      </c>
      <c r="G195" s="2"/>
      <c r="H195" s="7">
        <v>500</v>
      </c>
      <c r="I195" s="2"/>
      <c r="J195" s="6">
        <f t="shared" si="113"/>
        <v>7.5197016182397883E-4</v>
      </c>
      <c r="K195" s="2"/>
      <c r="L195" s="7">
        <f t="shared" si="114"/>
        <v>2492.14</v>
      </c>
      <c r="M195" s="2"/>
      <c r="N195" s="6">
        <f t="shared" si="115"/>
        <v>4.98428</v>
      </c>
      <c r="O195" s="11"/>
      <c r="P195" s="7">
        <v>37291.17</v>
      </c>
      <c r="Q195" s="2"/>
      <c r="R195" s="6">
        <f t="shared" si="116"/>
        <v>9.1393687059413385E-3</v>
      </c>
      <c r="S195" s="2"/>
      <c r="T195" s="7">
        <v>63600</v>
      </c>
      <c r="U195" s="2"/>
      <c r="V195" s="6">
        <f t="shared" si="117"/>
        <v>8.7042481247203794E-3</v>
      </c>
      <c r="W195" s="2"/>
      <c r="X195" s="7">
        <f t="shared" si="118"/>
        <v>-26308.83</v>
      </c>
      <c r="Y195" s="2"/>
      <c r="Z195" s="6">
        <f t="shared" si="119"/>
        <v>-0.41366084905660377</v>
      </c>
    </row>
    <row r="196" spans="1:26" s="24" customFormat="1" hidden="1" outlineLevel="2" x14ac:dyDescent="0.25">
      <c r="A196" s="27"/>
      <c r="B196" s="11" t="str">
        <f>CONCATENATE("          ", "6237", " - ", "JANITORIAL SUPPLIES")</f>
        <v xml:space="preserve">          6237 - JANITORIAL SUPPLIES</v>
      </c>
      <c r="C196" s="11"/>
      <c r="D196" s="7"/>
      <c r="E196" s="2"/>
      <c r="F196" s="6">
        <f t="shared" si="112"/>
        <v>0</v>
      </c>
      <c r="G196" s="2"/>
      <c r="H196" s="7">
        <v>260</v>
      </c>
      <c r="I196" s="2"/>
      <c r="J196" s="6">
        <f t="shared" si="113"/>
        <v>3.91024484148469E-4</v>
      </c>
      <c r="K196" s="2"/>
      <c r="L196" s="7">
        <f t="shared" si="114"/>
        <v>-260</v>
      </c>
      <c r="M196" s="2"/>
      <c r="N196" s="6">
        <f t="shared" si="115"/>
        <v>-1</v>
      </c>
      <c r="O196" s="11"/>
      <c r="P196" s="7">
        <v>2263.65</v>
      </c>
      <c r="Q196" s="2"/>
      <c r="R196" s="6">
        <f t="shared" si="116"/>
        <v>5.5477830197347283E-4</v>
      </c>
      <c r="S196" s="2"/>
      <c r="T196" s="7">
        <v>2140</v>
      </c>
      <c r="U196" s="2"/>
      <c r="V196" s="6">
        <f t="shared" si="117"/>
        <v>2.9287878910222659E-4</v>
      </c>
      <c r="W196" s="2"/>
      <c r="X196" s="7">
        <f t="shared" si="118"/>
        <v>123.65000000000009</v>
      </c>
      <c r="Y196" s="2"/>
      <c r="Z196" s="6">
        <f t="shared" si="119"/>
        <v>5.7780373831775741E-2</v>
      </c>
    </row>
    <row r="197" spans="1:26" s="24" customFormat="1" hidden="1" outlineLevel="2" x14ac:dyDescent="0.25">
      <c r="A197" s="27"/>
      <c r="B197" s="11" t="str">
        <f>CONCATENATE("          ", "6241", " - ", "OFFICE EXPENSE")</f>
        <v xml:space="preserve">          6241 - OFFICE EXPENSE</v>
      </c>
      <c r="C197" s="11"/>
      <c r="D197" s="7">
        <v>624.67999999999995</v>
      </c>
      <c r="E197" s="2"/>
      <c r="F197" s="6">
        <f t="shared" si="112"/>
        <v>3.0796664269869644E-3</v>
      </c>
      <c r="G197" s="2"/>
      <c r="H197" s="7">
        <v>625</v>
      </c>
      <c r="I197" s="2"/>
      <c r="J197" s="6">
        <f t="shared" si="113"/>
        <v>9.3996270227997356E-4</v>
      </c>
      <c r="K197" s="2"/>
      <c r="L197" s="7">
        <f t="shared" si="114"/>
        <v>-0.32000000000005002</v>
      </c>
      <c r="M197" s="2"/>
      <c r="N197" s="6">
        <f t="shared" si="115"/>
        <v>-5.1200000000007999E-4</v>
      </c>
      <c r="O197" s="11"/>
      <c r="P197" s="7">
        <v>9856.5499999999993</v>
      </c>
      <c r="Q197" s="2"/>
      <c r="R197" s="6">
        <f t="shared" si="116"/>
        <v>2.4156561625324731E-3</v>
      </c>
      <c r="S197" s="2"/>
      <c r="T197" s="7">
        <v>4600</v>
      </c>
      <c r="U197" s="2"/>
      <c r="V197" s="6">
        <f t="shared" si="117"/>
        <v>6.2955253732254314E-4</v>
      </c>
      <c r="W197" s="2"/>
      <c r="X197" s="7">
        <f t="shared" si="118"/>
        <v>5256.5499999999993</v>
      </c>
      <c r="Y197" s="2"/>
      <c r="Z197" s="6">
        <f t="shared" si="119"/>
        <v>1.142728260869565</v>
      </c>
    </row>
    <row r="198" spans="1:26" s="24" customFormat="1" hidden="1" outlineLevel="2" x14ac:dyDescent="0.25">
      <c r="A198" s="27"/>
      <c r="B198" s="11" t="str">
        <f>CONCATENATE("          ", "6243", " - ", "PAPER SUPPLIES")</f>
        <v xml:space="preserve">          6243 - PAPER SUPPLIES</v>
      </c>
      <c r="C198" s="11"/>
      <c r="D198" s="7"/>
      <c r="E198" s="2"/>
      <c r="F198" s="6">
        <f t="shared" si="112"/>
        <v>0</v>
      </c>
      <c r="G198" s="2"/>
      <c r="H198" s="7">
        <v>550</v>
      </c>
      <c r="I198" s="2"/>
      <c r="J198" s="6">
        <f t="shared" si="113"/>
        <v>8.2716717800637675E-4</v>
      </c>
      <c r="K198" s="2"/>
      <c r="L198" s="7">
        <f t="shared" si="114"/>
        <v>-550</v>
      </c>
      <c r="M198" s="2"/>
      <c r="N198" s="6">
        <f t="shared" si="115"/>
        <v>-1</v>
      </c>
      <c r="O198" s="11"/>
      <c r="P198" s="7">
        <v>6173.4</v>
      </c>
      <c r="Q198" s="2"/>
      <c r="R198" s="6">
        <f t="shared" si="116"/>
        <v>1.5129849444052909E-3</v>
      </c>
      <c r="S198" s="2"/>
      <c r="T198" s="7">
        <v>11600</v>
      </c>
      <c r="U198" s="2"/>
      <c r="V198" s="6">
        <f t="shared" si="117"/>
        <v>1.587567268030761E-3</v>
      </c>
      <c r="W198" s="2"/>
      <c r="X198" s="7">
        <f t="shared" si="118"/>
        <v>-5426.6</v>
      </c>
      <c r="Y198" s="2"/>
      <c r="Z198" s="6">
        <f t="shared" si="119"/>
        <v>-0.46781034482758621</v>
      </c>
    </row>
    <row r="199" spans="1:26" s="24" customFormat="1" hidden="1" outlineLevel="2" x14ac:dyDescent="0.25">
      <c r="A199" s="27"/>
      <c r="B199" s="11" t="str">
        <f>CONCATENATE("          ", "6244", " - ", "SAFETY SUPPLY EXPENSE")</f>
        <v xml:space="preserve">          6244 - SAFETY SUPPLY EXPENSE</v>
      </c>
      <c r="C199" s="11"/>
      <c r="D199" s="7"/>
      <c r="E199" s="2"/>
      <c r="F199" s="6">
        <f t="shared" si="112"/>
        <v>0</v>
      </c>
      <c r="G199" s="2"/>
      <c r="H199" s="7">
        <v>0</v>
      </c>
      <c r="I199" s="2"/>
      <c r="J199" s="6">
        <f t="shared" si="113"/>
        <v>0</v>
      </c>
      <c r="K199" s="2"/>
      <c r="L199" s="7">
        <f t="shared" si="114"/>
        <v>0</v>
      </c>
      <c r="M199" s="2"/>
      <c r="N199" s="6">
        <f t="shared" si="115"/>
        <v>0</v>
      </c>
      <c r="O199" s="11"/>
      <c r="P199" s="7"/>
      <c r="Q199" s="2"/>
      <c r="R199" s="6">
        <f t="shared" si="116"/>
        <v>0</v>
      </c>
      <c r="S199" s="2"/>
      <c r="T199" s="7">
        <v>75</v>
      </c>
      <c r="U199" s="2"/>
      <c r="V199" s="6">
        <f t="shared" si="117"/>
        <v>1.0264443543302334E-5</v>
      </c>
      <c r="W199" s="2"/>
      <c r="X199" s="7">
        <f t="shared" si="118"/>
        <v>-75</v>
      </c>
      <c r="Y199" s="2"/>
      <c r="Z199" s="6">
        <f t="shared" si="119"/>
        <v>-1</v>
      </c>
    </row>
    <row r="200" spans="1:26" s="24" customFormat="1" hidden="1" outlineLevel="2" x14ac:dyDescent="0.25">
      <c r="A200" s="27"/>
      <c r="B200" s="11" t="str">
        <f>CONCATENATE("          ", "6245", " - ", "PRINTING")</f>
        <v xml:space="preserve">          6245 - PRINTING</v>
      </c>
      <c r="C200" s="11"/>
      <c r="D200" s="7">
        <v>398.67</v>
      </c>
      <c r="E200" s="2"/>
      <c r="F200" s="6">
        <f t="shared" si="112"/>
        <v>1.9654392880305007E-3</v>
      </c>
      <c r="G200" s="2"/>
      <c r="H200" s="7">
        <v>350</v>
      </c>
      <c r="I200" s="2"/>
      <c r="J200" s="6">
        <f t="shared" si="113"/>
        <v>5.2637911327678519E-4</v>
      </c>
      <c r="K200" s="2"/>
      <c r="L200" s="7">
        <f t="shared" si="114"/>
        <v>48.670000000000016</v>
      </c>
      <c r="M200" s="2"/>
      <c r="N200" s="6">
        <f t="shared" si="115"/>
        <v>0.13905714285714291</v>
      </c>
      <c r="O200" s="11"/>
      <c r="P200" s="7">
        <v>906.94</v>
      </c>
      <c r="Q200" s="2"/>
      <c r="R200" s="6">
        <f t="shared" si="116"/>
        <v>2.222740411246533E-4</v>
      </c>
      <c r="S200" s="2"/>
      <c r="T200" s="7">
        <v>3900</v>
      </c>
      <c r="U200" s="2"/>
      <c r="V200" s="6">
        <f t="shared" si="117"/>
        <v>5.3375106425172141E-4</v>
      </c>
      <c r="W200" s="2"/>
      <c r="X200" s="7">
        <f t="shared" si="118"/>
        <v>-2993.06</v>
      </c>
      <c r="Y200" s="2"/>
      <c r="Z200" s="6">
        <f t="shared" si="119"/>
        <v>-0.76745128205128199</v>
      </c>
    </row>
    <row r="201" spans="1:26" s="24" customFormat="1" hidden="1" outlineLevel="2" x14ac:dyDescent="0.25">
      <c r="A201" s="27"/>
      <c r="B201" s="11" t="str">
        <f>CONCATENATE("          ", "6247", " - ", "STORE SUPPLIES")</f>
        <v xml:space="preserve">          6247 - STORE SUPPLIES</v>
      </c>
      <c r="C201" s="11"/>
      <c r="D201" s="7">
        <v>3888.52</v>
      </c>
      <c r="E201" s="2"/>
      <c r="F201" s="6">
        <f t="shared" si="112"/>
        <v>1.9170366419074329E-2</v>
      </c>
      <c r="G201" s="2"/>
      <c r="H201" s="7">
        <v>3475</v>
      </c>
      <c r="I201" s="2"/>
      <c r="J201" s="6">
        <f t="shared" si="113"/>
        <v>5.2261926246766526E-3</v>
      </c>
      <c r="K201" s="2"/>
      <c r="L201" s="7">
        <f t="shared" si="114"/>
        <v>413.52</v>
      </c>
      <c r="M201" s="2"/>
      <c r="N201" s="6">
        <f t="shared" si="115"/>
        <v>0.11899856115107914</v>
      </c>
      <c r="O201" s="11"/>
      <c r="P201" s="7">
        <v>42467.740000000005</v>
      </c>
      <c r="Q201" s="2"/>
      <c r="R201" s="6">
        <f t="shared" si="116"/>
        <v>1.0408049250480831E-2</v>
      </c>
      <c r="S201" s="2"/>
      <c r="T201" s="7">
        <v>22850</v>
      </c>
      <c r="U201" s="2"/>
      <c r="V201" s="6">
        <f t="shared" si="117"/>
        <v>3.1272337995261112E-3</v>
      </c>
      <c r="W201" s="2"/>
      <c r="X201" s="7">
        <f t="shared" si="118"/>
        <v>19617.740000000005</v>
      </c>
      <c r="Y201" s="2"/>
      <c r="Z201" s="6">
        <f t="shared" si="119"/>
        <v>0.85854442013129129</v>
      </c>
    </row>
    <row r="202" spans="1:26" s="24" customFormat="1" hidden="1" outlineLevel="2" x14ac:dyDescent="0.25">
      <c r="A202" s="27"/>
      <c r="B202" s="11" t="str">
        <f>CONCATENATE("          ", "6248", " - ", "UNIFORMS")</f>
        <v xml:space="preserve">          6248 - UNIFORMS</v>
      </c>
      <c r="C202" s="11"/>
      <c r="D202" s="7"/>
      <c r="E202" s="2"/>
      <c r="F202" s="6">
        <f t="shared" si="112"/>
        <v>0</v>
      </c>
      <c r="G202" s="2"/>
      <c r="H202" s="7">
        <v>1500</v>
      </c>
      <c r="I202" s="2"/>
      <c r="J202" s="6">
        <f t="shared" si="113"/>
        <v>2.2559104854719364E-3</v>
      </c>
      <c r="K202" s="2"/>
      <c r="L202" s="7">
        <f t="shared" si="114"/>
        <v>-1500</v>
      </c>
      <c r="M202" s="2"/>
      <c r="N202" s="6">
        <f t="shared" si="115"/>
        <v>-1</v>
      </c>
      <c r="O202" s="11"/>
      <c r="P202" s="7"/>
      <c r="Q202" s="2"/>
      <c r="R202" s="6">
        <f t="shared" si="116"/>
        <v>0</v>
      </c>
      <c r="S202" s="2"/>
      <c r="T202" s="7">
        <v>12200</v>
      </c>
      <c r="U202" s="2"/>
      <c r="V202" s="6">
        <f t="shared" si="117"/>
        <v>1.6696828163771796E-3</v>
      </c>
      <c r="W202" s="2"/>
      <c r="X202" s="7">
        <f t="shared" si="118"/>
        <v>-12200</v>
      </c>
      <c r="Y202" s="2"/>
      <c r="Z202" s="6">
        <f t="shared" si="119"/>
        <v>-1</v>
      </c>
    </row>
    <row r="203" spans="1:26" s="28" customFormat="1" outlineLevel="1" collapsed="1" x14ac:dyDescent="0.25">
      <c r="A203" s="29"/>
      <c r="B203" s="14" t="str">
        <f>CONCATENATE("     ","Telephone/Data Lines                              ")</f>
        <v xml:space="preserve">     Telephone/Data Lines                              </v>
      </c>
      <c r="C203" s="14"/>
      <c r="D203" s="1">
        <f>SUM(OSRRefD22_21x_0)</f>
        <v>1238.5999999999999</v>
      </c>
      <c r="E203" s="1"/>
      <c r="F203" s="5">
        <f t="shared" ref="F203:F205" si="120">IF(D$12=0,0,D203/D$12)</f>
        <v>6.1062861568579978E-3</v>
      </c>
      <c r="G203" s="1"/>
      <c r="H203" s="1">
        <f>SUM(OSRRefH22_21x_0)</f>
        <v>2295</v>
      </c>
      <c r="I203" s="1"/>
      <c r="J203" s="5">
        <f t="shared" ref="J203:J205" si="121">IF(H$12=0,0,H203/H$12)</f>
        <v>3.4515430427720629E-3</v>
      </c>
      <c r="K203" s="1"/>
      <c r="L203" s="1">
        <f t="shared" ref="L203:L205" si="122">+D203-H203</f>
        <v>-1056.4000000000001</v>
      </c>
      <c r="M203" s="1"/>
      <c r="N203" s="5">
        <f t="shared" ref="N203:N205" si="123">IF(H203=0,0,L203/H203)</f>
        <v>-0.46030501089324621</v>
      </c>
      <c r="O203" s="14"/>
      <c r="P203" s="1">
        <f>SUM(OSRRefP22_21x_0)</f>
        <v>18428.599999999999</v>
      </c>
      <c r="Q203" s="1"/>
      <c r="R203" s="5">
        <f t="shared" ref="R203:R205" si="124">IF(P$12=0,0,P203/P$12)</f>
        <v>4.5165053854387118E-3</v>
      </c>
      <c r="S203" s="1"/>
      <c r="T203" s="1">
        <f>SUM(OSRRefT22_21x_0)</f>
        <v>20660</v>
      </c>
      <c r="U203" s="1"/>
      <c r="V203" s="5">
        <f t="shared" ref="V203:V205" si="125">IF(T$12=0,0,T203/T$12)</f>
        <v>2.827512048061683E-3</v>
      </c>
      <c r="W203" s="1"/>
      <c r="X203" s="1">
        <f t="shared" ref="X203:X205" si="126">+P203-T203</f>
        <v>-2231.4000000000015</v>
      </c>
      <c r="Y203" s="1"/>
      <c r="Z203" s="5">
        <f t="shared" ref="Z203:Z205" si="127">IF(T203=0,0,X203/T203)</f>
        <v>-0.10800580832526628</v>
      </c>
    </row>
    <row r="204" spans="1:26" s="24" customFormat="1" hidden="1" outlineLevel="2" x14ac:dyDescent="0.25">
      <c r="A204" s="27"/>
      <c r="B204" s="11" t="str">
        <f>CONCATENATE("          ", "6303", " - ", "DATA PHONE LINES")</f>
        <v xml:space="preserve">          6303 - DATA PHONE LINES</v>
      </c>
      <c r="C204" s="11"/>
      <c r="D204" s="7">
        <v>590</v>
      </c>
      <c r="E204" s="2"/>
      <c r="F204" s="6">
        <f t="shared" si="120"/>
        <v>2.9086943585872912E-3</v>
      </c>
      <c r="G204" s="2"/>
      <c r="H204" s="7">
        <v>630</v>
      </c>
      <c r="I204" s="2"/>
      <c r="J204" s="6">
        <f t="shared" si="121"/>
        <v>9.474824038982133E-4</v>
      </c>
      <c r="K204" s="2"/>
      <c r="L204" s="7">
        <f t="shared" si="122"/>
        <v>-40</v>
      </c>
      <c r="M204" s="2"/>
      <c r="N204" s="6">
        <f t="shared" si="123"/>
        <v>-6.3492063492063489E-2</v>
      </c>
      <c r="O204" s="11"/>
      <c r="P204" s="7">
        <v>2950</v>
      </c>
      <c r="Q204" s="2"/>
      <c r="R204" s="6">
        <f t="shared" si="124"/>
        <v>7.2298985745223188E-4</v>
      </c>
      <c r="S204" s="2"/>
      <c r="T204" s="7">
        <v>5040</v>
      </c>
      <c r="U204" s="2"/>
      <c r="V204" s="6">
        <f t="shared" si="125"/>
        <v>6.8977060610991685E-4</v>
      </c>
      <c r="W204" s="2"/>
      <c r="X204" s="7">
        <f t="shared" si="126"/>
        <v>-2090</v>
      </c>
      <c r="Y204" s="2"/>
      <c r="Z204" s="6">
        <f t="shared" si="127"/>
        <v>-0.41468253968253971</v>
      </c>
    </row>
    <row r="205" spans="1:26" s="24" customFormat="1" hidden="1" outlineLevel="2" x14ac:dyDescent="0.25">
      <c r="A205" s="27"/>
      <c r="B205" s="11" t="str">
        <f>CONCATENATE("          ", "6309", " - ", "TELEPHONE")</f>
        <v xml:space="preserve">          6309 - TELEPHONE</v>
      </c>
      <c r="C205" s="11"/>
      <c r="D205" s="7">
        <v>648.6</v>
      </c>
      <c r="E205" s="2"/>
      <c r="F205" s="6">
        <f t="shared" si="120"/>
        <v>3.197591798270707E-3</v>
      </c>
      <c r="G205" s="2"/>
      <c r="H205" s="7">
        <v>1665</v>
      </c>
      <c r="I205" s="2"/>
      <c r="J205" s="6">
        <f t="shared" si="121"/>
        <v>2.5040606388738494E-3</v>
      </c>
      <c r="K205" s="2"/>
      <c r="L205" s="7">
        <f t="shared" si="122"/>
        <v>-1016.4</v>
      </c>
      <c r="M205" s="2"/>
      <c r="N205" s="6">
        <f t="shared" si="123"/>
        <v>-0.61045045045045043</v>
      </c>
      <c r="O205" s="11"/>
      <c r="P205" s="7">
        <v>15478.6</v>
      </c>
      <c r="Q205" s="2"/>
      <c r="R205" s="6">
        <f t="shared" si="124"/>
        <v>3.7935155279864804E-3</v>
      </c>
      <c r="S205" s="2"/>
      <c r="T205" s="7">
        <v>15620</v>
      </c>
      <c r="U205" s="2"/>
      <c r="V205" s="6">
        <f t="shared" si="125"/>
        <v>2.1377414419517663E-3</v>
      </c>
      <c r="W205" s="2"/>
      <c r="X205" s="7">
        <f t="shared" si="126"/>
        <v>-141.39999999999964</v>
      </c>
      <c r="Y205" s="2"/>
      <c r="Z205" s="6">
        <f t="shared" si="127"/>
        <v>-9.0524967989756497E-3</v>
      </c>
    </row>
    <row r="206" spans="1:26" s="28" customFormat="1" outlineLevel="1" collapsed="1" x14ac:dyDescent="0.25">
      <c r="A206" s="29"/>
      <c r="B206" s="14" t="str">
        <f>CONCATENATE("     ","Training                                          ")</f>
        <v xml:space="preserve">     Training                                          </v>
      </c>
      <c r="C206" s="14"/>
      <c r="D206" s="1">
        <f>SUM(OSRRefD22_22x_0)</f>
        <v>750</v>
      </c>
      <c r="E206" s="1"/>
      <c r="F206" s="5">
        <f t="shared" ref="F206:F211" si="128">IF(D$12=0,0,D206/D$12)</f>
        <v>3.6974928287126581E-3</v>
      </c>
      <c r="G206" s="1"/>
      <c r="H206" s="1">
        <f>SUM(OSRRefH22_22x_0)</f>
        <v>5000</v>
      </c>
      <c r="I206" s="1"/>
      <c r="J206" s="5">
        <f t="shared" ref="J206:J211" si="129">IF(H$12=0,0,H206/H$12)</f>
        <v>7.5197016182397885E-3</v>
      </c>
      <c r="K206" s="1"/>
      <c r="L206" s="1">
        <f t="shared" ref="L206:L211" si="130">+D206-H206</f>
        <v>-4250</v>
      </c>
      <c r="M206" s="1"/>
      <c r="N206" s="5">
        <f t="shared" ref="N206:N211" si="131">IF(H206=0,0,L206/H206)</f>
        <v>-0.85</v>
      </c>
      <c r="O206" s="14"/>
      <c r="P206" s="1">
        <f>SUM(OSRRefP22_22x_0)</f>
        <v>895.63</v>
      </c>
      <c r="Q206" s="1"/>
      <c r="R206" s="5">
        <f t="shared" ref="R206:R211" si="132">IF(P$12=0,0,P206/P$12)</f>
        <v>2.1950217153557372E-4</v>
      </c>
      <c r="S206" s="1"/>
      <c r="T206" s="1">
        <f>SUM(OSRRefT22_22x_0)</f>
        <v>11970</v>
      </c>
      <c r="U206" s="1"/>
      <c r="V206" s="5">
        <f t="shared" ref="V206:V211" si="133">IF(T$12=0,0,T206/T$12)</f>
        <v>1.6382051895110525E-3</v>
      </c>
      <c r="W206" s="1"/>
      <c r="X206" s="1">
        <f t="shared" ref="X206:X211" si="134">+P206-T206</f>
        <v>-11074.37</v>
      </c>
      <c r="Y206" s="1"/>
      <c r="Z206" s="5">
        <f t="shared" ref="Z206:Z211" si="135">IF(T206=0,0,X206/T206)</f>
        <v>-0.92517710944026743</v>
      </c>
    </row>
    <row r="207" spans="1:26" s="24" customFormat="1" hidden="1" outlineLevel="2" x14ac:dyDescent="0.25">
      <c r="A207" s="27"/>
      <c r="B207" s="11" t="str">
        <f>CONCATENATE("          ", "6376", " - ", "TRAINING")</f>
        <v xml:space="preserve">          6376 - TRAINING</v>
      </c>
      <c r="C207" s="11"/>
      <c r="D207" s="7">
        <v>750</v>
      </c>
      <c r="E207" s="2"/>
      <c r="F207" s="6">
        <f t="shared" si="128"/>
        <v>3.6974928287126581E-3</v>
      </c>
      <c r="G207" s="2"/>
      <c r="H207" s="7">
        <v>5000</v>
      </c>
      <c r="I207" s="2"/>
      <c r="J207" s="6">
        <f t="shared" si="129"/>
        <v>7.5197016182397885E-3</v>
      </c>
      <c r="K207" s="2"/>
      <c r="L207" s="7">
        <f t="shared" si="130"/>
        <v>-4250</v>
      </c>
      <c r="M207" s="2"/>
      <c r="N207" s="6">
        <f t="shared" si="131"/>
        <v>-0.85</v>
      </c>
      <c r="O207" s="11"/>
      <c r="P207" s="7">
        <v>895.63</v>
      </c>
      <c r="Q207" s="2"/>
      <c r="R207" s="6">
        <f t="shared" si="132"/>
        <v>2.1950217153557372E-4</v>
      </c>
      <c r="S207" s="2"/>
      <c r="T207" s="7">
        <v>11970</v>
      </c>
      <c r="U207" s="2"/>
      <c r="V207" s="6">
        <f t="shared" si="133"/>
        <v>1.6382051895110525E-3</v>
      </c>
      <c r="W207" s="2"/>
      <c r="X207" s="7">
        <f t="shared" si="134"/>
        <v>-11074.37</v>
      </c>
      <c r="Y207" s="2"/>
      <c r="Z207" s="6">
        <f t="shared" si="135"/>
        <v>-0.92517710944026743</v>
      </c>
    </row>
    <row r="208" spans="1:26" s="28" customFormat="1" outlineLevel="1" collapsed="1" x14ac:dyDescent="0.25">
      <c r="A208" s="29"/>
      <c r="B208" s="14" t="str">
        <f>CONCATENATE("     ","Travel                                            ")</f>
        <v xml:space="preserve">     Travel                                            </v>
      </c>
      <c r="C208" s="14"/>
      <c r="D208" s="1">
        <f>SUM(OSRRefD22_23x_0)</f>
        <v>0</v>
      </c>
      <c r="E208" s="1"/>
      <c r="F208" s="5">
        <f t="shared" si="128"/>
        <v>0</v>
      </c>
      <c r="G208" s="1"/>
      <c r="H208" s="1">
        <f>SUM(OSRRefH22_23x_0)</f>
        <v>50</v>
      </c>
      <c r="I208" s="1"/>
      <c r="J208" s="5">
        <f t="shared" si="129"/>
        <v>7.5197016182397888E-5</v>
      </c>
      <c r="K208" s="1"/>
      <c r="L208" s="1">
        <f t="shared" si="130"/>
        <v>-50</v>
      </c>
      <c r="M208" s="1"/>
      <c r="N208" s="5">
        <f t="shared" si="131"/>
        <v>-1</v>
      </c>
      <c r="O208" s="14"/>
      <c r="P208" s="1">
        <f>SUM(OSRRefP22_23x_0)</f>
        <v>810.31000000000006</v>
      </c>
      <c r="Q208" s="1"/>
      <c r="R208" s="5">
        <f t="shared" si="132"/>
        <v>1.9859183437020953E-4</v>
      </c>
      <c r="S208" s="1"/>
      <c r="T208" s="1">
        <f>SUM(OSRRefT22_23x_0)</f>
        <v>600</v>
      </c>
      <c r="U208" s="1"/>
      <c r="V208" s="5">
        <f t="shared" si="133"/>
        <v>8.2115548346418669E-5</v>
      </c>
      <c r="W208" s="1"/>
      <c r="X208" s="1">
        <f t="shared" si="134"/>
        <v>210.31000000000006</v>
      </c>
      <c r="Y208" s="1"/>
      <c r="Z208" s="5">
        <f t="shared" si="135"/>
        <v>0.35051666666666675</v>
      </c>
    </row>
    <row r="209" spans="1:26" s="24" customFormat="1" hidden="1" outlineLevel="2" x14ac:dyDescent="0.25">
      <c r="A209" s="27"/>
      <c r="B209" s="11" t="str">
        <f>CONCATENATE("          ", "6292", " - ", "TRAVEL/CONFERENCE")</f>
        <v xml:space="preserve">          6292 - TRAVEL/CONFERENCE</v>
      </c>
      <c r="C209" s="11"/>
      <c r="D209" s="7"/>
      <c r="E209" s="2"/>
      <c r="F209" s="6">
        <f t="shared" si="128"/>
        <v>0</v>
      </c>
      <c r="G209" s="2"/>
      <c r="H209" s="7"/>
      <c r="I209" s="2"/>
      <c r="J209" s="6">
        <f t="shared" si="129"/>
        <v>0</v>
      </c>
      <c r="K209" s="2"/>
      <c r="L209" s="7">
        <f t="shared" si="130"/>
        <v>0</v>
      </c>
      <c r="M209" s="2"/>
      <c r="N209" s="6">
        <f t="shared" si="131"/>
        <v>0</v>
      </c>
      <c r="O209" s="11"/>
      <c r="P209" s="7">
        <v>299.16000000000003</v>
      </c>
      <c r="Q209" s="2"/>
      <c r="R209" s="6">
        <f t="shared" si="132"/>
        <v>7.3318523984884648E-5</v>
      </c>
      <c r="S209" s="2"/>
      <c r="T209" s="7">
        <v>0</v>
      </c>
      <c r="U209" s="2"/>
      <c r="V209" s="6">
        <f t="shared" si="133"/>
        <v>0</v>
      </c>
      <c r="W209" s="2"/>
      <c r="X209" s="7">
        <f t="shared" si="134"/>
        <v>299.16000000000003</v>
      </c>
      <c r="Y209" s="2"/>
      <c r="Z209" s="6">
        <f t="shared" si="135"/>
        <v>0</v>
      </c>
    </row>
    <row r="210" spans="1:26" s="24" customFormat="1" hidden="1" outlineLevel="2" x14ac:dyDescent="0.25">
      <c r="A210" s="27"/>
      <c r="B210" s="11" t="str">
        <f>CONCATENATE("          ", "6294", " - ", "TRAVEL OPERATIONAL")</f>
        <v xml:space="preserve">          6294 - TRAVEL OPERATIONAL</v>
      </c>
      <c r="C210" s="11"/>
      <c r="D210" s="7"/>
      <c r="E210" s="2"/>
      <c r="F210" s="6">
        <f t="shared" si="128"/>
        <v>0</v>
      </c>
      <c r="G210" s="2"/>
      <c r="H210" s="7">
        <v>25</v>
      </c>
      <c r="I210" s="2"/>
      <c r="J210" s="6">
        <f t="shared" si="129"/>
        <v>3.7598508091198944E-5</v>
      </c>
      <c r="K210" s="2"/>
      <c r="L210" s="7">
        <f t="shared" si="130"/>
        <v>-25</v>
      </c>
      <c r="M210" s="2"/>
      <c r="N210" s="6">
        <f t="shared" si="131"/>
        <v>-1</v>
      </c>
      <c r="O210" s="11"/>
      <c r="P210" s="7">
        <v>451.26</v>
      </c>
      <c r="Q210" s="2"/>
      <c r="R210" s="6">
        <f t="shared" si="132"/>
        <v>1.105953908725065E-4</v>
      </c>
      <c r="S210" s="2"/>
      <c r="T210" s="7">
        <v>200</v>
      </c>
      <c r="U210" s="2"/>
      <c r="V210" s="6">
        <f t="shared" si="133"/>
        <v>2.7371849448806226E-5</v>
      </c>
      <c r="W210" s="2"/>
      <c r="X210" s="7">
        <f t="shared" si="134"/>
        <v>251.26</v>
      </c>
      <c r="Y210" s="2"/>
      <c r="Z210" s="6">
        <f t="shared" si="135"/>
        <v>1.2563</v>
      </c>
    </row>
    <row r="211" spans="1:26" s="24" customFormat="1" hidden="1" outlineLevel="2" x14ac:dyDescent="0.25">
      <c r="A211" s="27"/>
      <c r="B211" s="11" t="str">
        <f>CONCATENATE("          ", "6298", " - ", "VEHICLE MILEAGE")</f>
        <v xml:space="preserve">          6298 - VEHICLE MILEAGE</v>
      </c>
      <c r="C211" s="11"/>
      <c r="D211" s="7"/>
      <c r="E211" s="2"/>
      <c r="F211" s="6">
        <f t="shared" si="128"/>
        <v>0</v>
      </c>
      <c r="G211" s="2"/>
      <c r="H211" s="7">
        <v>25</v>
      </c>
      <c r="I211" s="2"/>
      <c r="J211" s="6">
        <f t="shared" si="129"/>
        <v>3.7598508091198944E-5</v>
      </c>
      <c r="K211" s="2"/>
      <c r="L211" s="7">
        <f t="shared" si="130"/>
        <v>-25</v>
      </c>
      <c r="M211" s="2"/>
      <c r="N211" s="6">
        <f t="shared" si="131"/>
        <v>-1</v>
      </c>
      <c r="O211" s="11"/>
      <c r="P211" s="7">
        <v>59.89</v>
      </c>
      <c r="Q211" s="2"/>
      <c r="R211" s="6">
        <f t="shared" si="132"/>
        <v>1.4677919512818364E-5</v>
      </c>
      <c r="S211" s="2"/>
      <c r="T211" s="7">
        <v>400</v>
      </c>
      <c r="U211" s="2"/>
      <c r="V211" s="6">
        <f t="shared" si="133"/>
        <v>5.4743698897612453E-5</v>
      </c>
      <c r="W211" s="2"/>
      <c r="X211" s="7">
        <f t="shared" si="134"/>
        <v>-340.11</v>
      </c>
      <c r="Y211" s="2"/>
      <c r="Z211" s="6">
        <f t="shared" si="135"/>
        <v>-0.850275</v>
      </c>
    </row>
    <row r="212" spans="1:26" s="28" customFormat="1" outlineLevel="1" collapsed="1" x14ac:dyDescent="0.25">
      <c r="A212" s="29"/>
      <c r="B212" s="14" t="str">
        <f>CONCATENATE("     ","Utilities                                         ")</f>
        <v xml:space="preserve">     Utilities                                         </v>
      </c>
      <c r="C212" s="14"/>
      <c r="D212" s="1">
        <f>SUM(OSRRefD22_24x_0)</f>
        <v>6161.14</v>
      </c>
      <c r="E212" s="1"/>
      <c r="F212" s="5">
        <f t="shared" ref="F212:F213" si="136">IF(D$12=0,0,D212/D$12)</f>
        <v>3.0374361288926278E-2</v>
      </c>
      <c r="G212" s="1"/>
      <c r="H212" s="1">
        <f>SUM(OSRRefH22_24x_0)</f>
        <v>8800</v>
      </c>
      <c r="I212" s="1"/>
      <c r="J212" s="5">
        <f t="shared" ref="J212:J213" si="137">IF(H$12=0,0,H212/H$12)</f>
        <v>1.3234674848102028E-2</v>
      </c>
      <c r="K212" s="1"/>
      <c r="L212" s="1">
        <f t="shared" ref="L212:L213" si="138">+D212-H212</f>
        <v>-2638.8599999999997</v>
      </c>
      <c r="M212" s="1"/>
      <c r="N212" s="5">
        <f t="shared" ref="N212:N213" si="139">IF(H212=0,0,L212/H212)</f>
        <v>-0.29987045454545452</v>
      </c>
      <c r="O212" s="14"/>
      <c r="P212" s="1">
        <f>SUM(OSRRefP22_24x_0)</f>
        <v>49088.17</v>
      </c>
      <c r="Q212" s="1"/>
      <c r="R212" s="5">
        <f t="shared" ref="R212:R213" si="140">IF(P$12=0,0,P212/P$12)</f>
        <v>1.2030592891827433E-2</v>
      </c>
      <c r="S212" s="1"/>
      <c r="T212" s="1">
        <f>SUM(OSRRefT22_24x_0)</f>
        <v>51775</v>
      </c>
      <c r="U212" s="1"/>
      <c r="V212" s="5">
        <f t="shared" ref="V212:V213" si="141">IF(T$12=0,0,T212/T$12)</f>
        <v>7.0858875260597113E-3</v>
      </c>
      <c r="W212" s="1"/>
      <c r="X212" s="1">
        <f t="shared" ref="X212:X213" si="142">+P212-T212</f>
        <v>-2686.8300000000017</v>
      </c>
      <c r="Y212" s="1"/>
      <c r="Z212" s="5">
        <f t="shared" ref="Z212:Z213" si="143">IF(T212=0,0,X212/T212)</f>
        <v>-5.1894350555287336E-2</v>
      </c>
    </row>
    <row r="213" spans="1:26" s="24" customFormat="1" hidden="1" outlineLevel="2" x14ac:dyDescent="0.25">
      <c r="A213" s="27"/>
      <c r="B213" s="11" t="str">
        <f>CONCATENATE("          ", "6274", " - ", "UTILITIES")</f>
        <v xml:space="preserve">          6274 - UTILITIES</v>
      </c>
      <c r="C213" s="11"/>
      <c r="D213" s="7">
        <v>6161.14</v>
      </c>
      <c r="E213" s="2"/>
      <c r="F213" s="6">
        <f t="shared" si="136"/>
        <v>3.0374361288926278E-2</v>
      </c>
      <c r="G213" s="2"/>
      <c r="H213" s="7">
        <v>8800</v>
      </c>
      <c r="I213" s="2"/>
      <c r="J213" s="6">
        <f t="shared" si="137"/>
        <v>1.3234674848102028E-2</v>
      </c>
      <c r="K213" s="2"/>
      <c r="L213" s="7">
        <f t="shared" si="138"/>
        <v>-2638.8599999999997</v>
      </c>
      <c r="M213" s="2"/>
      <c r="N213" s="6">
        <f t="shared" si="139"/>
        <v>-0.29987045454545452</v>
      </c>
      <c r="O213" s="11"/>
      <c r="P213" s="7">
        <v>49088.17</v>
      </c>
      <c r="Q213" s="2"/>
      <c r="R213" s="6">
        <f t="shared" si="140"/>
        <v>1.2030592891827433E-2</v>
      </c>
      <c r="S213" s="2"/>
      <c r="T213" s="7">
        <v>51775</v>
      </c>
      <c r="U213" s="2"/>
      <c r="V213" s="6">
        <f t="shared" si="141"/>
        <v>7.0858875260597113E-3</v>
      </c>
      <c r="W213" s="2"/>
      <c r="X213" s="7">
        <f t="shared" si="142"/>
        <v>-2686.8300000000017</v>
      </c>
      <c r="Y213" s="2"/>
      <c r="Z213" s="6">
        <f t="shared" si="143"/>
        <v>-5.1894350555287336E-2</v>
      </c>
    </row>
    <row r="214" spans="1:26" s="58" customFormat="1" x14ac:dyDescent="0.25">
      <c r="A214" s="36"/>
      <c r="B214" s="36"/>
      <c r="C214" s="36"/>
      <c r="D214" s="1"/>
      <c r="E214" s="1"/>
      <c r="F214" s="5"/>
      <c r="G214" s="1"/>
      <c r="H214" s="1"/>
      <c r="I214" s="1"/>
      <c r="J214" s="5"/>
      <c r="K214" s="1"/>
      <c r="L214" s="1"/>
      <c r="M214" s="1"/>
      <c r="N214" s="5"/>
      <c r="O214" s="36"/>
      <c r="P214" s="1"/>
      <c r="Q214" s="1"/>
      <c r="R214" s="5"/>
      <c r="S214" s="1"/>
      <c r="T214" s="1"/>
      <c r="U214" s="1"/>
      <c r="V214" s="5"/>
      <c r="W214" s="1"/>
      <c r="X214" s="1"/>
      <c r="Y214" s="1"/>
      <c r="Z214" s="5"/>
    </row>
    <row r="215" spans="1:26" s="23" customFormat="1" collapsed="1" x14ac:dyDescent="0.25">
      <c r="A215" s="10"/>
      <c r="B215" s="26" t="s">
        <v>0</v>
      </c>
      <c r="C215" s="10"/>
      <c r="D215" s="4">
        <f>SUM(OSRRefD25x_0)</f>
        <v>196876.80000000002</v>
      </c>
      <c r="E215" s="4"/>
      <c r="F215" s="12">
        <f t="shared" ref="F215:F219" si="144">IF(D$12=0,0,D215/D$12)</f>
        <v>0.97060074151986175</v>
      </c>
      <c r="G215" s="4"/>
      <c r="H215" s="4">
        <f>SUM(OSRRefH25x_0)</f>
        <v>114946</v>
      </c>
      <c r="I215" s="4"/>
      <c r="J215" s="12">
        <f t="shared" ref="J215:J219" si="145">IF(H$12=0,0,H215/H$12)</f>
        <v>0.17287192444203814</v>
      </c>
      <c r="K215" s="4"/>
      <c r="L215" s="4">
        <f t="shared" ref="L215:L219" si="146">+D215-H215</f>
        <v>81930.800000000017</v>
      </c>
      <c r="M215" s="4"/>
      <c r="N215" s="12">
        <f t="shared" ref="N215:N219" si="147">IF(H215=0,0,L215/H215)</f>
        <v>0.71277643415168879</v>
      </c>
      <c r="O215" s="10"/>
      <c r="P215" s="4">
        <f>SUM(OSRRefP25x_0)</f>
        <v>773255.40999999992</v>
      </c>
      <c r="Q215" s="4"/>
      <c r="R215" s="12">
        <f t="shared" ref="R215:R219" si="148">IF(P$12=0,0,P215/P$12)</f>
        <v>0.18951044700002273</v>
      </c>
      <c r="S215" s="4"/>
      <c r="T215" s="4">
        <f>SUM(OSRRefT25x_0)</f>
        <v>628900</v>
      </c>
      <c r="U215" s="4"/>
      <c r="V215" s="12">
        <f t="shared" ref="V215:V219" si="149">IF(T$12=0,0,T215/T$12)</f>
        <v>8.6070780591771173E-2</v>
      </c>
      <c r="W215" s="4"/>
      <c r="X215" s="4">
        <f t="shared" ref="X215:X219" si="150">+P215-T215</f>
        <v>144355.40999999992</v>
      </c>
      <c r="Y215" s="4"/>
      <c r="Z215" s="12">
        <f t="shared" ref="Z215:Z219" si="151">IF(T215=0,0,X215/T215)</f>
        <v>0.22953634918110974</v>
      </c>
    </row>
    <row r="216" spans="1:26" s="24" customFormat="1" hidden="1" outlineLevel="1" x14ac:dyDescent="0.25">
      <c r="A216" s="51"/>
      <c r="B216" s="11" t="str">
        <f>CONCATENATE("          ", "9150", " - ", "MISC. INCOME")</f>
        <v xml:space="preserve">          9150 - MISC. INCOME</v>
      </c>
      <c r="C216" s="11"/>
      <c r="D216" s="2">
        <f>--52128.38</f>
        <v>52128.38</v>
      </c>
      <c r="E216" s="2"/>
      <c r="F216" s="22">
        <f t="shared" si="144"/>
        <v>0.25699241496321112</v>
      </c>
      <c r="G216" s="2"/>
      <c r="H216" s="2">
        <v>20650</v>
      </c>
      <c r="I216" s="2"/>
      <c r="J216" s="22">
        <f t="shared" si="145"/>
        <v>3.1056367683330324E-2</v>
      </c>
      <c r="K216" s="2"/>
      <c r="L216" s="2">
        <f t="shared" si="146"/>
        <v>31478.379999999997</v>
      </c>
      <c r="M216" s="2"/>
      <c r="N216" s="22">
        <f t="shared" si="147"/>
        <v>1.5243767554479417</v>
      </c>
      <c r="O216" s="11"/>
      <c r="P216" s="2">
        <f>--300611.5</f>
        <v>300611.5</v>
      </c>
      <c r="Q216" s="2"/>
      <c r="R216" s="22">
        <f t="shared" si="148"/>
        <v>7.3674259502881909E-2</v>
      </c>
      <c r="S216" s="2"/>
      <c r="T216" s="2">
        <v>162500</v>
      </c>
      <c r="U216" s="2"/>
      <c r="V216" s="22">
        <f t="shared" si="149"/>
        <v>2.2239627677155059E-2</v>
      </c>
      <c r="W216" s="2"/>
      <c r="X216" s="2">
        <f t="shared" si="150"/>
        <v>138111.5</v>
      </c>
      <c r="Y216" s="2"/>
      <c r="Z216" s="22">
        <f t="shared" si="151"/>
        <v>0.84991692307692313</v>
      </c>
    </row>
    <row r="217" spans="1:26" s="24" customFormat="1" hidden="1" outlineLevel="1" x14ac:dyDescent="0.25">
      <c r="A217" s="51"/>
      <c r="B217" s="11" t="str">
        <f>CONCATENATE("          ", "9151", " - ", "MISC. INCOME")</f>
        <v xml:space="preserve">          9151 - MISC. INCOME</v>
      </c>
      <c r="C217" s="11"/>
      <c r="D217" s="2">
        <f>--148653.31</f>
        <v>148653.31</v>
      </c>
      <c r="E217" s="2"/>
      <c r="F217" s="22">
        <f t="shared" si="144"/>
        <v>0.73285939691919955</v>
      </c>
      <c r="G217" s="2"/>
      <c r="H217" s="2">
        <v>94296</v>
      </c>
      <c r="I217" s="2"/>
      <c r="J217" s="22">
        <f t="shared" si="145"/>
        <v>0.14181555675870783</v>
      </c>
      <c r="K217" s="2"/>
      <c r="L217" s="2">
        <f t="shared" si="146"/>
        <v>54357.31</v>
      </c>
      <c r="M217" s="2"/>
      <c r="N217" s="22">
        <f t="shared" si="147"/>
        <v>0.57645403834733178</v>
      </c>
      <c r="O217" s="11"/>
      <c r="P217" s="2">
        <f>--297910.7</f>
        <v>297910.7</v>
      </c>
      <c r="Q217" s="2"/>
      <c r="R217" s="22">
        <f t="shared" si="148"/>
        <v>7.3012343907286323E-2</v>
      </c>
      <c r="S217" s="2"/>
      <c r="T217" s="2">
        <v>466400</v>
      </c>
      <c r="U217" s="2"/>
      <c r="V217" s="22">
        <f t="shared" si="149"/>
        <v>6.3831152914616121E-2</v>
      </c>
      <c r="W217" s="2"/>
      <c r="X217" s="2">
        <f t="shared" si="150"/>
        <v>-168489.3</v>
      </c>
      <c r="Y217" s="2"/>
      <c r="Z217" s="22">
        <f t="shared" si="151"/>
        <v>-0.36125493138936532</v>
      </c>
    </row>
    <row r="218" spans="1:26" s="24" customFormat="1" hidden="1" outlineLevel="1" x14ac:dyDescent="0.25">
      <c r="A218" s="51"/>
      <c r="B218" s="11" t="str">
        <f>CONCATENATE("          ", "9152", " - ", "MISC. INCOME")</f>
        <v xml:space="preserve">          9152 - MISC. INCOME</v>
      </c>
      <c r="C218" s="11"/>
      <c r="D218" s="2">
        <f>--81.19</f>
        <v>81.19</v>
      </c>
      <c r="E218" s="2"/>
      <c r="F218" s="22">
        <f t="shared" si="144"/>
        <v>4.0026592368424098E-4</v>
      </c>
      <c r="G218" s="2"/>
      <c r="H218" s="2"/>
      <c r="I218" s="2"/>
      <c r="J218" s="22">
        <f t="shared" si="145"/>
        <v>0</v>
      </c>
      <c r="K218" s="2"/>
      <c r="L218" s="2">
        <f t="shared" si="146"/>
        <v>81.19</v>
      </c>
      <c r="M218" s="2"/>
      <c r="N218" s="22">
        <f t="shared" si="147"/>
        <v>0</v>
      </c>
      <c r="O218" s="11"/>
      <c r="P218" s="2">
        <f>--3313.45</f>
        <v>3313.45</v>
      </c>
      <c r="Q218" s="2"/>
      <c r="R218" s="22">
        <f t="shared" si="148"/>
        <v>8.1206465870342301E-4</v>
      </c>
      <c r="S218" s="2"/>
      <c r="T218" s="2"/>
      <c r="U218" s="2"/>
      <c r="V218" s="22">
        <f t="shared" si="149"/>
        <v>0</v>
      </c>
      <c r="W218" s="2"/>
      <c r="X218" s="2">
        <f t="shared" si="150"/>
        <v>3313.45</v>
      </c>
      <c r="Y218" s="2"/>
      <c r="Z218" s="22">
        <f t="shared" si="151"/>
        <v>0</v>
      </c>
    </row>
    <row r="219" spans="1:26" s="24" customFormat="1" hidden="1" outlineLevel="1" x14ac:dyDescent="0.25">
      <c r="A219" s="51"/>
      <c r="B219" s="11" t="str">
        <f>CONCATENATE("          ", "9163", " - ", "MISC. INCOME")</f>
        <v xml:space="preserve">          9163 - MISC. INCOME</v>
      </c>
      <c r="C219" s="11"/>
      <c r="D219" s="2">
        <f>-3986.08</f>
        <v>-3986.08</v>
      </c>
      <c r="E219" s="2"/>
      <c r="F219" s="22">
        <f t="shared" si="144"/>
        <v>-1.9651336286233272E-2</v>
      </c>
      <c r="G219" s="2"/>
      <c r="H219" s="2"/>
      <c r="I219" s="2"/>
      <c r="J219" s="22">
        <f t="shared" si="145"/>
        <v>0</v>
      </c>
      <c r="K219" s="2"/>
      <c r="L219" s="2">
        <f t="shared" si="146"/>
        <v>-3986.08</v>
      </c>
      <c r="M219" s="2"/>
      <c r="N219" s="22">
        <f t="shared" si="147"/>
        <v>0</v>
      </c>
      <c r="O219" s="11"/>
      <c r="P219" s="2">
        <f>--171419.76</f>
        <v>171419.76</v>
      </c>
      <c r="Q219" s="2"/>
      <c r="R219" s="22">
        <f t="shared" si="148"/>
        <v>4.2011778931151121E-2</v>
      </c>
      <c r="S219" s="2"/>
      <c r="T219" s="2"/>
      <c r="U219" s="2"/>
      <c r="V219" s="22">
        <f t="shared" si="149"/>
        <v>0</v>
      </c>
      <c r="W219" s="2"/>
      <c r="X219" s="2">
        <f t="shared" si="150"/>
        <v>171419.76</v>
      </c>
      <c r="Y219" s="2"/>
      <c r="Z219" s="22">
        <f t="shared" si="151"/>
        <v>0</v>
      </c>
    </row>
    <row r="220" spans="1:26" x14ac:dyDescent="0.25">
      <c r="A220" s="9"/>
      <c r="B220" s="10"/>
      <c r="C220" s="10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O220" s="10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x14ac:dyDescent="0.25">
      <c r="A221" s="10"/>
      <c r="B221" s="25" t="s">
        <v>3</v>
      </c>
      <c r="C221" s="25"/>
      <c r="D221" s="19">
        <f>+D115-D117+D215</f>
        <v>33727.47</v>
      </c>
      <c r="E221" s="13"/>
      <c r="F221" s="21">
        <f>IF(D$12=0,0,D221/D$12)</f>
        <v>0.16627610460749509</v>
      </c>
      <c r="G221" s="13"/>
      <c r="H221" s="19">
        <f>+H115-H117+H215</f>
        <v>81730.387690771546</v>
      </c>
      <c r="I221" s="13"/>
      <c r="J221" s="21">
        <f>IF(H$12=0,0,H221/H$12)</f>
        <v>0.12291762571553201</v>
      </c>
      <c r="K221" s="15"/>
      <c r="L221" s="19">
        <f>+D221-H221</f>
        <v>-48002.917690771545</v>
      </c>
      <c r="M221" s="15"/>
      <c r="N221" s="21">
        <f>IF(H221=0,0,L221/H221)</f>
        <v>-0.58733255826941</v>
      </c>
      <c r="O221" s="26"/>
      <c r="P221" s="19">
        <f>+P115-P117+P215</f>
        <v>74932.259999998147</v>
      </c>
      <c r="Q221" s="13"/>
      <c r="R221" s="21">
        <f>IF(P$12=0,0,P221/P$12)</f>
        <v>1.8364496263041437E-2</v>
      </c>
      <c r="S221" s="13"/>
      <c r="T221" s="19">
        <f>+T115-T117+T215</f>
        <v>503455.91923604812</v>
      </c>
      <c r="U221" s="13"/>
      <c r="V221" s="21">
        <f>IF(T$12=0,0,T221/T$12)</f>
        <v>6.8902598127197276E-2</v>
      </c>
      <c r="W221" s="15"/>
      <c r="X221" s="19">
        <f>+P221-T221</f>
        <v>-428523.65923604998</v>
      </c>
      <c r="Y221" s="15"/>
      <c r="Z221" s="21">
        <f>IF(T221=0,0,X221/T221)</f>
        <v>-0.85116420894663125</v>
      </c>
    </row>
    <row r="222" spans="1:26" x14ac:dyDescent="0.25">
      <c r="A222" s="9"/>
      <c r="B222" s="10"/>
      <c r="C222" s="9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s="23" customFormat="1" x14ac:dyDescent="0.25">
      <c r="A223" s="52"/>
      <c r="B223" s="10" t="s">
        <v>14</v>
      </c>
      <c r="C223" s="10"/>
      <c r="D223" s="4">
        <v>104183.44</v>
      </c>
      <c r="E223" s="4"/>
      <c r="F223" s="12">
        <f>IF(D$12=0,0,D223/D$12)</f>
        <v>0.51362336302748735</v>
      </c>
      <c r="G223" s="4"/>
      <c r="H223" s="4">
        <v>102657</v>
      </c>
      <c r="I223" s="4"/>
      <c r="J223" s="12">
        <f>IF(H$12=0,0,H223/H$12)</f>
        <v>0.15439000180472839</v>
      </c>
      <c r="K223" s="4"/>
      <c r="L223" s="4">
        <f>+D223-H223</f>
        <v>1526.4400000000023</v>
      </c>
      <c r="M223" s="4"/>
      <c r="N223" s="12">
        <f>IF(H223=0,0,L223/H223)</f>
        <v>1.4869322111497534E-2</v>
      </c>
      <c r="O223" s="10"/>
      <c r="P223" s="4">
        <v>808041.09</v>
      </c>
      <c r="Q223" s="4"/>
      <c r="R223" s="12">
        <f>IF(P$12=0,0,P223/P$12)</f>
        <v>0.19803576694055799</v>
      </c>
      <c r="S223" s="4"/>
      <c r="T223" s="4">
        <v>1260791</v>
      </c>
      <c r="U223" s="4"/>
      <c r="V223" s="12">
        <f>IF(T$12=0,0,T223/T$12)</f>
        <v>0.17255090719204924</v>
      </c>
      <c r="W223" s="4"/>
      <c r="X223" s="4">
        <f>+P223-T223</f>
        <v>-452749.91000000003</v>
      </c>
      <c r="Y223" s="4"/>
      <c r="Z223" s="12">
        <f>IF(T223=0,0,X223/T223)</f>
        <v>-0.35909989046558871</v>
      </c>
    </row>
    <row r="224" spans="1:26" x14ac:dyDescent="0.25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.75" thickBot="1" x14ac:dyDescent="0.3">
      <c r="A225" s="10"/>
      <c r="B225" s="25" t="s">
        <v>4</v>
      </c>
      <c r="C225" s="25"/>
      <c r="D225" s="34">
        <f>+D221-D223</f>
        <v>-70455.97</v>
      </c>
      <c r="E225" s="13"/>
      <c r="F225" s="30">
        <f>IF(D$12=0,0,D225/D$12)</f>
        <v>-0.34734725841999226</v>
      </c>
      <c r="G225" s="13"/>
      <c r="H225" s="34">
        <f>+H221-H223</f>
        <v>-20926.612309228454</v>
      </c>
      <c r="I225" s="13"/>
      <c r="J225" s="30">
        <f>IF(H$12=0,0,H225/H$12)</f>
        <v>-3.1472376089196376E-2</v>
      </c>
      <c r="K225" s="15"/>
      <c r="L225" s="34">
        <f>D225-H225</f>
        <v>-49529.357690771547</v>
      </c>
      <c r="M225" s="15"/>
      <c r="N225" s="30">
        <f>IF(H225=0,0,L225/H225)</f>
        <v>2.3668120266618371</v>
      </c>
      <c r="O225" s="26"/>
      <c r="P225" s="34">
        <f>+P221-P223</f>
        <v>-733108.83000000182</v>
      </c>
      <c r="Q225" s="13"/>
      <c r="R225" s="30">
        <f>IF(P$12=0,0,P225/P$12)</f>
        <v>-0.17967127067751656</v>
      </c>
      <c r="S225" s="13"/>
      <c r="T225" s="34">
        <f>+T221-T223</f>
        <v>-757335.08076395188</v>
      </c>
      <c r="U225" s="13"/>
      <c r="V225" s="30">
        <f>IF(T$12=0,0,T225/T$12)</f>
        <v>-0.10364830906485197</v>
      </c>
      <c r="W225" s="15"/>
      <c r="X225" s="34">
        <f>P225-T225</f>
        <v>24226.250763950055</v>
      </c>
      <c r="Y225" s="15"/>
      <c r="Z225" s="30">
        <f>IF(T225=0,0,X225/T225)</f>
        <v>-3.1988813643113088E-2</v>
      </c>
    </row>
    <row r="226" spans="1:26" ht="15.75" thickTop="1" x14ac:dyDescent="0.25">
      <c r="A226" s="9"/>
      <c r="B226" s="9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x14ac:dyDescent="0.25">
      <c r="A227" s="9"/>
      <c r="B227" s="9"/>
      <c r="C227" s="9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ht="15.75" thickBot="1" x14ac:dyDescent="0.3">
      <c r="A228" s="10"/>
      <c r="B228" s="25" t="s">
        <v>5</v>
      </c>
      <c r="C228" s="25"/>
      <c r="D228" s="35">
        <f>SUM(D225:D227)</f>
        <v>-70455.97</v>
      </c>
      <c r="E228" s="13"/>
      <c r="F228" s="31">
        <f>IF(D$12=0,0,D228/D$12)</f>
        <v>-0.34734725841999226</v>
      </c>
      <c r="G228" s="13"/>
      <c r="H228" s="35">
        <f>SUM(H225:H227)</f>
        <v>-20926.612309228454</v>
      </c>
      <c r="I228" s="13"/>
      <c r="J228" s="31">
        <f>IF(H$12=0,0,H228/H$12)</f>
        <v>-3.1472376089196376E-2</v>
      </c>
      <c r="K228" s="15"/>
      <c r="L228" s="35">
        <f>+D228-H228</f>
        <v>-49529.357690771547</v>
      </c>
      <c r="M228" s="15"/>
      <c r="N228" s="31">
        <f>IF(H228=0,0,L228/H228)</f>
        <v>2.3668120266618371</v>
      </c>
      <c r="O228" s="26"/>
      <c r="P228" s="35">
        <f>SUM(P225:P227)</f>
        <v>-733108.83000000182</v>
      </c>
      <c r="Q228" s="13"/>
      <c r="R228" s="31">
        <f>IF(P$12=0,0,P228/P$12)</f>
        <v>-0.17967127067751656</v>
      </c>
      <c r="S228" s="13"/>
      <c r="T228" s="35">
        <f>SUM(T225:T227)</f>
        <v>-757335.08076395188</v>
      </c>
      <c r="U228" s="13"/>
      <c r="V228" s="31">
        <f>IF(T$12=0,0,T228/T$12)</f>
        <v>-0.10364830906485197</v>
      </c>
      <c r="W228" s="15"/>
      <c r="X228" s="35">
        <f>+P228-T228</f>
        <v>24226.250763950055</v>
      </c>
      <c r="Y228" s="15"/>
      <c r="Z228" s="31">
        <f>IF(T228=0,0,X228/T228)</f>
        <v>-3.1988813643113088E-2</v>
      </c>
    </row>
    <row r="229" spans="1:26" ht="15.75" thickTop="1" x14ac:dyDescent="0.25">
      <c r="A229" s="9"/>
      <c r="C229" s="9"/>
      <c r="D229" s="18"/>
      <c r="E229" s="18"/>
      <c r="G229" s="18"/>
      <c r="H229" s="18"/>
      <c r="I229" s="18"/>
      <c r="J229" s="42"/>
      <c r="K229" s="18"/>
      <c r="L229" s="18"/>
      <c r="M229" s="18"/>
      <c r="P229" s="18"/>
      <c r="Q229" s="18"/>
      <c r="R229" s="42"/>
      <c r="S229" s="18"/>
      <c r="T229" s="18"/>
      <c r="U229" s="18"/>
      <c r="V229" s="42"/>
      <c r="W229" s="18"/>
      <c r="X229" s="18"/>
    </row>
    <row r="230" spans="1:26" x14ac:dyDescent="0.25">
      <c r="A230" s="9"/>
      <c r="B230" s="53">
        <v>44267.671328009259</v>
      </c>
      <c r="D230" s="18"/>
      <c r="E230" s="18"/>
      <c r="G230" s="18"/>
      <c r="H230" s="18"/>
      <c r="I230" s="18"/>
      <c r="J230" s="42"/>
      <c r="K230" s="18"/>
      <c r="L230" s="18"/>
      <c r="M230" s="18"/>
      <c r="P230" s="18"/>
      <c r="Q230" s="18"/>
      <c r="R230" s="42"/>
      <c r="S230" s="18"/>
      <c r="T230" s="18"/>
      <c r="U230" s="18"/>
      <c r="V230" s="42"/>
      <c r="W230" s="18"/>
      <c r="X230" s="18"/>
    </row>
    <row r="231" spans="1:26" x14ac:dyDescent="0.25">
      <c r="A231" s="9"/>
      <c r="B231" s="62" t="s">
        <v>314</v>
      </c>
      <c r="D231" s="18"/>
      <c r="E231" s="18"/>
      <c r="G231" s="18"/>
      <c r="H231" s="18"/>
      <c r="I231" s="18"/>
      <c r="J231" s="42"/>
      <c r="K231" s="18"/>
      <c r="L231" s="18"/>
      <c r="M231" s="18"/>
      <c r="P231" s="18"/>
      <c r="Q231" s="18"/>
      <c r="R231" s="42"/>
      <c r="S231" s="18"/>
      <c r="T231" s="18"/>
      <c r="U231" s="18"/>
      <c r="V231" s="42"/>
      <c r="W231" s="18"/>
      <c r="X231" s="18"/>
    </row>
    <row r="232" spans="1:26" x14ac:dyDescent="0.25">
      <c r="A232" s="9"/>
      <c r="B232" s="57"/>
      <c r="D232" s="18"/>
      <c r="E232" s="18"/>
      <c r="G232" s="18"/>
      <c r="H232" s="18"/>
      <c r="I232" s="18"/>
      <c r="J232" s="42"/>
      <c r="K232" s="18"/>
      <c r="L232" s="18"/>
      <c r="M232" s="18"/>
      <c r="P232" s="18"/>
      <c r="Q232" s="18"/>
      <c r="R232" s="42"/>
      <c r="S232" s="18"/>
      <c r="T232" s="18"/>
      <c r="U232" s="18"/>
      <c r="V232" s="42"/>
      <c r="W232" s="18"/>
      <c r="X232" s="18"/>
    </row>
    <row r="233" spans="1:26" x14ac:dyDescent="0.25">
      <c r="D233" s="18"/>
      <c r="E233" s="18"/>
      <c r="G233" s="18"/>
      <c r="H233" s="18"/>
      <c r="I233" s="18"/>
      <c r="J233" s="42"/>
      <c r="K233" s="18"/>
      <c r="L233" s="18"/>
      <c r="M233" s="18"/>
      <c r="P233" s="18"/>
      <c r="Q233" s="18"/>
      <c r="R233" s="42"/>
      <c r="S233" s="18"/>
      <c r="T233" s="18"/>
      <c r="U233" s="18"/>
      <c r="V233" s="42"/>
      <c r="W233" s="18"/>
      <c r="X233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388775.0199999999</v>
      </c>
      <c r="E12" s="4"/>
      <c r="F12" s="12"/>
      <c r="G12" s="4"/>
      <c r="H12" s="4">
        <f>SUM(OSRRefH13x_0)</f>
        <v>777894</v>
      </c>
      <c r="I12" s="4"/>
      <c r="J12" s="12"/>
      <c r="K12" s="4"/>
      <c r="L12" s="4">
        <f t="shared" ref="L12:L90" si="0">+D12-H12</f>
        <v>-389118.9800000001</v>
      </c>
      <c r="M12" s="4"/>
      <c r="N12" s="12">
        <f t="shared" ref="N12:N90" si="1">IF(H12=0,0,L12/H12)</f>
        <v>-0.50022108410657506</v>
      </c>
      <c r="O12" s="10"/>
      <c r="P12" s="4">
        <f>SUM(OSRRefP13x_0)</f>
        <v>5670749.7400000012</v>
      </c>
      <c r="Q12" s="4"/>
      <c r="R12" s="12"/>
      <c r="S12" s="4"/>
      <c r="T12" s="4">
        <f>SUM(OSRRefT13x_0)</f>
        <v>9038408</v>
      </c>
      <c r="U12" s="4"/>
      <c r="V12" s="12"/>
      <c r="W12" s="4"/>
      <c r="X12" s="4">
        <f t="shared" ref="X12:X90" si="2">+P12-T12</f>
        <v>-3367658.2599999988</v>
      </c>
      <c r="Y12" s="4"/>
      <c r="Z12" s="12">
        <f t="shared" ref="Z12:Z90" si="3">IF(T12=0,0,X12/T12)</f>
        <v>-0.37259418472810685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-7402.1</f>
        <v>-7402.1</v>
      </c>
      <c r="E13" s="2"/>
      <c r="F13" s="22"/>
      <c r="G13" s="2"/>
      <c r="H13" s="2">
        <v>702449</v>
      </c>
      <c r="I13" s="2"/>
      <c r="J13" s="22"/>
      <c r="K13" s="2"/>
      <c r="L13" s="2">
        <f t="shared" si="0"/>
        <v>-709851.1</v>
      </c>
      <c r="M13" s="2"/>
      <c r="N13" s="22">
        <f t="shared" si="1"/>
        <v>-1.0105375621575374</v>
      </c>
      <c r="O13" s="11"/>
      <c r="P13" s="2">
        <f>-111058.09</f>
        <v>-111058.09</v>
      </c>
      <c r="Q13" s="2"/>
      <c r="R13" s="22"/>
      <c r="S13" s="2"/>
      <c r="T13" s="2">
        <v>8758274</v>
      </c>
      <c r="U13" s="2"/>
      <c r="V13" s="22"/>
      <c r="W13" s="2"/>
      <c r="X13" s="2">
        <f t="shared" si="2"/>
        <v>-8869332.0899999999</v>
      </c>
      <c r="Y13" s="2"/>
      <c r="Z13" s="22">
        <f t="shared" si="3"/>
        <v>-1.0126803625919902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22"/>
      <c r="G14" s="2"/>
      <c r="H14" s="2"/>
      <c r="I14" s="2"/>
      <c r="J14" s="22"/>
      <c r="K14" s="2"/>
      <c r="L14" s="2">
        <f t="shared" si="0"/>
        <v>34627.67</v>
      </c>
      <c r="M14" s="2"/>
      <c r="N14" s="22">
        <f t="shared" si="1"/>
        <v>0</v>
      </c>
      <c r="O14" s="11"/>
      <c r="P14" s="2">
        <f>--1224724.01</f>
        <v>1224724.01</v>
      </c>
      <c r="Q14" s="2"/>
      <c r="R14" s="22"/>
      <c r="S14" s="2"/>
      <c r="T14" s="2"/>
      <c r="U14" s="2"/>
      <c r="V14" s="22"/>
      <c r="W14" s="2"/>
      <c r="X14" s="2">
        <f t="shared" si="2"/>
        <v>1224724.01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22"/>
      <c r="G15" s="2"/>
      <c r="H15" s="2"/>
      <c r="I15" s="2"/>
      <c r="J15" s="22"/>
      <c r="K15" s="2"/>
      <c r="L15" s="2">
        <f t="shared" si="0"/>
        <v>12732.98</v>
      </c>
      <c r="M15" s="2"/>
      <c r="N15" s="22">
        <f t="shared" si="1"/>
        <v>0</v>
      </c>
      <c r="O15" s="11"/>
      <c r="P15" s="2">
        <f>--575134.48</f>
        <v>575134.48</v>
      </c>
      <c r="Q15" s="2"/>
      <c r="R15" s="22"/>
      <c r="S15" s="2"/>
      <c r="T15" s="2"/>
      <c r="U15" s="2"/>
      <c r="V15" s="22"/>
      <c r="W15" s="2"/>
      <c r="X15" s="2">
        <f t="shared" si="2"/>
        <v>575134.48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--41.38</f>
        <v>41.38</v>
      </c>
      <c r="E21" s="2"/>
      <c r="F21" s="22"/>
      <c r="G21" s="2"/>
      <c r="H21" s="2"/>
      <c r="I21" s="2"/>
      <c r="J21" s="22"/>
      <c r="K21" s="2"/>
      <c r="L21" s="2">
        <f t="shared" si="0"/>
        <v>41.38</v>
      </c>
      <c r="M21" s="2"/>
      <c r="N21" s="22">
        <f t="shared" si="1"/>
        <v>0</v>
      </c>
      <c r="O21" s="11"/>
      <c r="P21" s="2">
        <f>--448.38</f>
        <v>448.38</v>
      </c>
      <c r="Q21" s="2"/>
      <c r="R21" s="22"/>
      <c r="S21" s="2"/>
      <c r="T21" s="2"/>
      <c r="U21" s="2"/>
      <c r="V21" s="22"/>
      <c r="W21" s="2"/>
      <c r="X21" s="2">
        <f t="shared" si="2"/>
        <v>448.38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--5808.1</f>
        <v>5808.1</v>
      </c>
      <c r="E22" s="2"/>
      <c r="F22" s="22"/>
      <c r="G22" s="2"/>
      <c r="H22" s="2"/>
      <c r="I22" s="2"/>
      <c r="J22" s="22"/>
      <c r="K22" s="2"/>
      <c r="L22" s="2">
        <f t="shared" si="0"/>
        <v>5808.1</v>
      </c>
      <c r="M22" s="2"/>
      <c r="N22" s="22">
        <f t="shared" si="1"/>
        <v>0</v>
      </c>
      <c r="O22" s="11"/>
      <c r="P22" s="2">
        <f>--54484.32</f>
        <v>54484.32</v>
      </c>
      <c r="Q22" s="2"/>
      <c r="R22" s="22"/>
      <c r="S22" s="2"/>
      <c r="T22" s="2"/>
      <c r="U22" s="2"/>
      <c r="V22" s="22"/>
      <c r="W22" s="2"/>
      <c r="X22" s="2">
        <f t="shared" si="2"/>
        <v>54484.32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--1924.8</f>
        <v>1924.8</v>
      </c>
      <c r="E23" s="2"/>
      <c r="F23" s="22"/>
      <c r="G23" s="2"/>
      <c r="H23" s="2"/>
      <c r="I23" s="2"/>
      <c r="J23" s="22"/>
      <c r="K23" s="2"/>
      <c r="L23" s="2">
        <f t="shared" si="0"/>
        <v>1924.8</v>
      </c>
      <c r="M23" s="2"/>
      <c r="N23" s="22">
        <f t="shared" si="1"/>
        <v>0</v>
      </c>
      <c r="O23" s="11"/>
      <c r="P23" s="2">
        <f>--40876.62</f>
        <v>40876.620000000003</v>
      </c>
      <c r="Q23" s="2"/>
      <c r="R23" s="22"/>
      <c r="S23" s="2"/>
      <c r="T23" s="2"/>
      <c r="U23" s="2"/>
      <c r="V23" s="22"/>
      <c r="W23" s="2"/>
      <c r="X23" s="2">
        <f t="shared" si="2"/>
        <v>40876.620000000003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--593.6</f>
        <v>593.6</v>
      </c>
      <c r="E24" s="2"/>
      <c r="F24" s="22"/>
      <c r="G24" s="2"/>
      <c r="H24" s="2"/>
      <c r="I24" s="2"/>
      <c r="J24" s="22"/>
      <c r="K24" s="2"/>
      <c r="L24" s="2">
        <f t="shared" si="0"/>
        <v>593.6</v>
      </c>
      <c r="M24" s="2"/>
      <c r="N24" s="22">
        <f t="shared" si="1"/>
        <v>0</v>
      </c>
      <c r="O24" s="11"/>
      <c r="P24" s="2">
        <f>--3180.84</f>
        <v>3180.84</v>
      </c>
      <c r="Q24" s="2"/>
      <c r="R24" s="22"/>
      <c r="S24" s="2"/>
      <c r="T24" s="2"/>
      <c r="U24" s="2"/>
      <c r="V24" s="22"/>
      <c r="W24" s="2"/>
      <c r="X24" s="2">
        <f t="shared" si="2"/>
        <v>3180.84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--73245.08</f>
        <v>73245.08</v>
      </c>
      <c r="E26" s="2"/>
      <c r="F26" s="22"/>
      <c r="G26" s="2"/>
      <c r="H26" s="2"/>
      <c r="I26" s="2"/>
      <c r="J26" s="22"/>
      <c r="K26" s="2"/>
      <c r="L26" s="2">
        <f t="shared" si="0"/>
        <v>73245.08</v>
      </c>
      <c r="M26" s="2"/>
      <c r="N26" s="22">
        <f t="shared" si="1"/>
        <v>0</v>
      </c>
      <c r="O26" s="11"/>
      <c r="P26" s="2">
        <f>--671347.98</f>
        <v>671347.98</v>
      </c>
      <c r="Q26" s="2"/>
      <c r="R26" s="22"/>
      <c r="S26" s="2"/>
      <c r="T26" s="2"/>
      <c r="U26" s="2"/>
      <c r="V26" s="22"/>
      <c r="W26" s="2"/>
      <c r="X26" s="2">
        <f t="shared" si="2"/>
        <v>671347.98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--27100.04</f>
        <v>27100.04</v>
      </c>
      <c r="E27" s="2"/>
      <c r="F27" s="22"/>
      <c r="G27" s="2"/>
      <c r="H27" s="2"/>
      <c r="I27" s="2"/>
      <c r="J27" s="22"/>
      <c r="K27" s="2"/>
      <c r="L27" s="2">
        <f t="shared" si="0"/>
        <v>27100.04</v>
      </c>
      <c r="M27" s="2"/>
      <c r="N27" s="22">
        <f t="shared" si="1"/>
        <v>0</v>
      </c>
      <c r="O27" s="11"/>
      <c r="P27" s="2">
        <f>--276199.31</f>
        <v>276199.31</v>
      </c>
      <c r="Q27" s="2"/>
      <c r="R27" s="22"/>
      <c r="S27" s="2"/>
      <c r="T27" s="2"/>
      <c r="U27" s="2"/>
      <c r="V27" s="22"/>
      <c r="W27" s="2"/>
      <c r="X27" s="2">
        <f t="shared" si="2"/>
        <v>276199.31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--4794.04</f>
        <v>4794.04</v>
      </c>
      <c r="E28" s="2"/>
      <c r="F28" s="22"/>
      <c r="G28" s="2"/>
      <c r="H28" s="2"/>
      <c r="I28" s="2"/>
      <c r="J28" s="22"/>
      <c r="K28" s="2"/>
      <c r="L28" s="2">
        <f t="shared" si="0"/>
        <v>4794.04</v>
      </c>
      <c r="M28" s="2"/>
      <c r="N28" s="22">
        <f t="shared" si="1"/>
        <v>0</v>
      </c>
      <c r="O28" s="11"/>
      <c r="P28" s="2">
        <f>--78994.92</f>
        <v>78994.92</v>
      </c>
      <c r="Q28" s="2"/>
      <c r="R28" s="22"/>
      <c r="S28" s="2"/>
      <c r="T28" s="2"/>
      <c r="U28" s="2"/>
      <c r="V28" s="22"/>
      <c r="W28" s="2"/>
      <c r="X28" s="2">
        <f t="shared" si="2"/>
        <v>78994.92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--6195.85</f>
        <v>6195.85</v>
      </c>
      <c r="E29" s="2"/>
      <c r="F29" s="22"/>
      <c r="G29" s="2"/>
      <c r="H29" s="2"/>
      <c r="I29" s="2"/>
      <c r="J29" s="22"/>
      <c r="K29" s="2"/>
      <c r="L29" s="2">
        <f t="shared" si="0"/>
        <v>6195.85</v>
      </c>
      <c r="M29" s="2"/>
      <c r="N29" s="22">
        <f t="shared" si="1"/>
        <v>0</v>
      </c>
      <c r="O29" s="11"/>
      <c r="P29" s="2">
        <f>--124150.66</f>
        <v>124150.66</v>
      </c>
      <c r="Q29" s="2"/>
      <c r="R29" s="22"/>
      <c r="S29" s="2"/>
      <c r="T29" s="2"/>
      <c r="U29" s="2"/>
      <c r="V29" s="22"/>
      <c r="W29" s="2"/>
      <c r="X29" s="2">
        <f t="shared" si="2"/>
        <v>124150.66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--2036.78</f>
        <v>2036.78</v>
      </c>
      <c r="E30" s="2"/>
      <c r="F30" s="22"/>
      <c r="G30" s="2"/>
      <c r="H30" s="2"/>
      <c r="I30" s="2"/>
      <c r="J30" s="22"/>
      <c r="K30" s="2"/>
      <c r="L30" s="2">
        <f t="shared" si="0"/>
        <v>2036.78</v>
      </c>
      <c r="M30" s="2"/>
      <c r="N30" s="22">
        <f t="shared" si="1"/>
        <v>0</v>
      </c>
      <c r="O30" s="11"/>
      <c r="P30" s="2">
        <f>--29572.4</f>
        <v>29572.400000000001</v>
      </c>
      <c r="Q30" s="2"/>
      <c r="R30" s="22"/>
      <c r="S30" s="2"/>
      <c r="T30" s="2"/>
      <c r="U30" s="2"/>
      <c r="V30" s="22"/>
      <c r="W30" s="2"/>
      <c r="X30" s="2">
        <f t="shared" si="2"/>
        <v>29572.400000000001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--10039.9</f>
        <v>10039.9</v>
      </c>
      <c r="E31" s="2"/>
      <c r="F31" s="22"/>
      <c r="G31" s="2"/>
      <c r="H31" s="2"/>
      <c r="I31" s="2"/>
      <c r="J31" s="22"/>
      <c r="K31" s="2"/>
      <c r="L31" s="2">
        <f t="shared" si="0"/>
        <v>10039.9</v>
      </c>
      <c r="M31" s="2"/>
      <c r="N31" s="22">
        <f t="shared" si="1"/>
        <v>0</v>
      </c>
      <c r="O31" s="11"/>
      <c r="P31" s="2">
        <f>--135489.57</f>
        <v>135489.57</v>
      </c>
      <c r="Q31" s="2"/>
      <c r="R31" s="22"/>
      <c r="S31" s="2"/>
      <c r="T31" s="2"/>
      <c r="U31" s="2"/>
      <c r="V31" s="22"/>
      <c r="W31" s="2"/>
      <c r="X31" s="2">
        <f t="shared" si="2"/>
        <v>135489.57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--64.79</f>
        <v>64.790000000000006</v>
      </c>
      <c r="E32" s="2"/>
      <c r="F32" s="22"/>
      <c r="G32" s="2"/>
      <c r="H32" s="2"/>
      <c r="I32" s="2"/>
      <c r="J32" s="22"/>
      <c r="K32" s="2"/>
      <c r="L32" s="2">
        <f t="shared" si="0"/>
        <v>64.790000000000006</v>
      </c>
      <c r="M32" s="2"/>
      <c r="N32" s="22">
        <f t="shared" si="1"/>
        <v>0</v>
      </c>
      <c r="O32" s="11"/>
      <c r="P32" s="2">
        <f>--59334.8</f>
        <v>59334.8</v>
      </c>
      <c r="Q32" s="2"/>
      <c r="R32" s="22"/>
      <c r="S32" s="2"/>
      <c r="T32" s="2"/>
      <c r="U32" s="2"/>
      <c r="V32" s="22"/>
      <c r="W32" s="2"/>
      <c r="X32" s="2">
        <f t="shared" si="2"/>
        <v>59334.8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--165815.3</f>
        <v>165815.29999999999</v>
      </c>
      <c r="E33" s="2"/>
      <c r="F33" s="22"/>
      <c r="G33" s="2"/>
      <c r="H33" s="2"/>
      <c r="I33" s="2"/>
      <c r="J33" s="22"/>
      <c r="K33" s="2"/>
      <c r="L33" s="2">
        <f t="shared" si="0"/>
        <v>165815.29999999999</v>
      </c>
      <c r="M33" s="2"/>
      <c r="N33" s="22">
        <f t="shared" si="1"/>
        <v>0</v>
      </c>
      <c r="O33" s="11"/>
      <c r="P33" s="2">
        <f>--1250838.47</f>
        <v>1250838.47</v>
      </c>
      <c r="Q33" s="2"/>
      <c r="R33" s="22"/>
      <c r="S33" s="2"/>
      <c r="T33" s="2"/>
      <c r="U33" s="2"/>
      <c r="V33" s="22"/>
      <c r="W33" s="2"/>
      <c r="X33" s="2">
        <f t="shared" si="2"/>
        <v>1250838.47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--3521.24</f>
        <v>3521.24</v>
      </c>
      <c r="E34" s="2"/>
      <c r="F34" s="22"/>
      <c r="G34" s="2"/>
      <c r="H34" s="2"/>
      <c r="I34" s="2"/>
      <c r="J34" s="22"/>
      <c r="K34" s="2"/>
      <c r="L34" s="2">
        <f t="shared" si="0"/>
        <v>3521.24</v>
      </c>
      <c r="M34" s="2"/>
      <c r="N34" s="22">
        <f t="shared" si="1"/>
        <v>0</v>
      </c>
      <c r="O34" s="11"/>
      <c r="P34" s="2">
        <f>--96808.82</f>
        <v>96808.82</v>
      </c>
      <c r="Q34" s="2"/>
      <c r="R34" s="22"/>
      <c r="S34" s="2"/>
      <c r="T34" s="2"/>
      <c r="U34" s="2"/>
      <c r="V34" s="22"/>
      <c r="W34" s="2"/>
      <c r="X34" s="2">
        <f t="shared" si="2"/>
        <v>96808.82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--2878.93</f>
        <v>2878.93</v>
      </c>
      <c r="Q35" s="2"/>
      <c r="R35" s="22"/>
      <c r="S35" s="2"/>
      <c r="T35" s="2"/>
      <c r="U35" s="2"/>
      <c r="V35" s="22"/>
      <c r="W35" s="2"/>
      <c r="X35" s="2">
        <f t="shared" si="2"/>
        <v>2878.93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--1077.33</f>
        <v>1077.33</v>
      </c>
      <c r="E36" s="2"/>
      <c r="F36" s="22"/>
      <c r="G36" s="2"/>
      <c r="H36" s="2"/>
      <c r="I36" s="2"/>
      <c r="J36" s="22"/>
      <c r="K36" s="2"/>
      <c r="L36" s="2">
        <f t="shared" si="0"/>
        <v>1077.33</v>
      </c>
      <c r="M36" s="2"/>
      <c r="N36" s="22">
        <f t="shared" si="1"/>
        <v>0</v>
      </c>
      <c r="O36" s="11"/>
      <c r="P36" s="2">
        <f>--58947.17</f>
        <v>58947.17</v>
      </c>
      <c r="Q36" s="2"/>
      <c r="R36" s="22"/>
      <c r="S36" s="2"/>
      <c r="T36" s="2"/>
      <c r="U36" s="2"/>
      <c r="V36" s="22"/>
      <c r="W36" s="2"/>
      <c r="X36" s="2">
        <f t="shared" si="2"/>
        <v>58947.17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"4095", " - ", "TAXABLE SALES-CUSTOMER SERVICE")</f>
        <v xml:space="preserve">          4095 - TAXABLE SALES-CUSTOMER SERVICE</v>
      </c>
      <c r="C37" s="11"/>
      <c r="D37" s="2">
        <f>--139.85</f>
        <v>139.85</v>
      </c>
      <c r="E37" s="2"/>
      <c r="F37" s="22"/>
      <c r="G37" s="2"/>
      <c r="H37" s="2"/>
      <c r="I37" s="2"/>
      <c r="J37" s="22"/>
      <c r="K37" s="2"/>
      <c r="L37" s="2">
        <f t="shared" si="0"/>
        <v>139.85</v>
      </c>
      <c r="M37" s="2"/>
      <c r="N37" s="22">
        <f t="shared" si="1"/>
        <v>0</v>
      </c>
      <c r="O37" s="11"/>
      <c r="P37" s="2">
        <f>--139.85</f>
        <v>139.85</v>
      </c>
      <c r="Q37" s="2"/>
      <c r="R37" s="22"/>
      <c r="S37" s="2"/>
      <c r="T37" s="2"/>
      <c r="U37" s="2"/>
      <c r="V37" s="22"/>
      <c r="W37" s="2"/>
      <c r="X37" s="2">
        <f t="shared" si="2"/>
        <v>139.85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"4100", " - ", "NON-TAXABLE SALES")</f>
        <v xml:space="preserve">          4100 - NON-TAXABLE SALES</v>
      </c>
      <c r="C38" s="11"/>
      <c r="D38" s="2">
        <f>--5617.7</f>
        <v>5617.7</v>
      </c>
      <c r="E38" s="2"/>
      <c r="F38" s="22"/>
      <c r="G38" s="2"/>
      <c r="H38" s="2">
        <v>75445</v>
      </c>
      <c r="I38" s="2"/>
      <c r="J38" s="22"/>
      <c r="K38" s="2"/>
      <c r="L38" s="2">
        <f t="shared" si="0"/>
        <v>-69827.3</v>
      </c>
      <c r="M38" s="2"/>
      <c r="N38" s="22">
        <f t="shared" si="1"/>
        <v>-0.92553913446881841</v>
      </c>
      <c r="O38" s="11"/>
      <c r="P38" s="2">
        <f>--284173.56</f>
        <v>284173.56</v>
      </c>
      <c r="Q38" s="2"/>
      <c r="R38" s="22"/>
      <c r="S38" s="2"/>
      <c r="T38" s="2">
        <v>280134</v>
      </c>
      <c r="U38" s="2"/>
      <c r="V38" s="22"/>
      <c r="W38" s="2"/>
      <c r="X38" s="2">
        <f t="shared" si="2"/>
        <v>4039.5599999999977</v>
      </c>
      <c r="Y38" s="2"/>
      <c r="Z38" s="22">
        <f t="shared" si="3"/>
        <v>1.4420098952644083E-2</v>
      </c>
    </row>
    <row r="39" spans="1:26" s="24" customFormat="1" hidden="1" outlineLevel="1" x14ac:dyDescent="0.25">
      <c r="A39" s="51"/>
      <c r="B39" s="11" t="str">
        <f>CONCATENATE("          ", "4101", " - ", "NON-TAXABLE SALES-NEW TEXT")</f>
        <v xml:space="preserve">          4101 - NON-TAXABLE SALES-NEW TEXT</v>
      </c>
      <c r="C39" s="11"/>
      <c r="D39" s="2">
        <f>--6785.91</f>
        <v>6785.91</v>
      </c>
      <c r="E39" s="2"/>
      <c r="F39" s="22"/>
      <c r="G39" s="2"/>
      <c r="H39" s="2"/>
      <c r="I39" s="2"/>
      <c r="J39" s="22"/>
      <c r="K39" s="2"/>
      <c r="L39" s="2">
        <f t="shared" si="0"/>
        <v>6785.91</v>
      </c>
      <c r="M39" s="2"/>
      <c r="N39" s="22">
        <f t="shared" si="1"/>
        <v>0</v>
      </c>
      <c r="O39" s="11"/>
      <c r="P39" s="2">
        <f>--111011.54</f>
        <v>111011.54</v>
      </c>
      <c r="Q39" s="2"/>
      <c r="R39" s="22"/>
      <c r="S39" s="2"/>
      <c r="T39" s="2"/>
      <c r="U39" s="2"/>
      <c r="V39" s="22"/>
      <c r="W39" s="2"/>
      <c r="X39" s="2">
        <f t="shared" si="2"/>
        <v>111011.54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"4102", " - ", "NON-TAXABLE SALES-USED TEXT")</f>
        <v xml:space="preserve">          4102 - NON-TAXABLE SALES-USED TEXT</v>
      </c>
      <c r="C40" s="11"/>
      <c r="D40" s="2">
        <f>--3426.05</f>
        <v>3426.05</v>
      </c>
      <c r="E40" s="2"/>
      <c r="F40" s="22"/>
      <c r="G40" s="2"/>
      <c r="H40" s="2"/>
      <c r="I40" s="2"/>
      <c r="J40" s="22"/>
      <c r="K40" s="2"/>
      <c r="L40" s="2">
        <f t="shared" si="0"/>
        <v>3426.05</v>
      </c>
      <c r="M40" s="2"/>
      <c r="N40" s="22">
        <f t="shared" si="1"/>
        <v>0</v>
      </c>
      <c r="O40" s="11"/>
      <c r="P40" s="2">
        <f>--46387.37</f>
        <v>46387.37</v>
      </c>
      <c r="Q40" s="2"/>
      <c r="R40" s="22"/>
      <c r="S40" s="2"/>
      <c r="T40" s="2"/>
      <c r="U40" s="2"/>
      <c r="V40" s="22"/>
      <c r="W40" s="2"/>
      <c r="X40" s="2">
        <f t="shared" si="2"/>
        <v>46387.37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"4103", " - ", "NON-TAXABLE SALES-RENTAL TEXT")</f>
        <v xml:space="preserve">          4103 - NON-TAXABLE SALES-RENTAL TEXT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--1138.95</f>
        <v>1138.95</v>
      </c>
      <c r="Q41" s="2"/>
      <c r="R41" s="22"/>
      <c r="S41" s="2"/>
      <c r="T41" s="2"/>
      <c r="U41" s="2"/>
      <c r="V41" s="22"/>
      <c r="W41" s="2"/>
      <c r="X41" s="2">
        <f t="shared" si="2"/>
        <v>1138.95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"4104", " - ", "NON-TAXABLE SALES-DIGITAL TEXT")</f>
        <v xml:space="preserve">          4104 - NON-TAXABLE SALES-DIGITAL TEXT</v>
      </c>
      <c r="C42" s="11"/>
      <c r="D42" s="2">
        <f>--17705.92</f>
        <v>17705.919999999998</v>
      </c>
      <c r="E42" s="2"/>
      <c r="F42" s="22"/>
      <c r="G42" s="2"/>
      <c r="H42" s="2"/>
      <c r="I42" s="2"/>
      <c r="J42" s="22"/>
      <c r="K42" s="2"/>
      <c r="L42" s="2">
        <f t="shared" si="0"/>
        <v>17705.919999999998</v>
      </c>
      <c r="M42" s="2"/>
      <c r="N42" s="22">
        <f t="shared" si="1"/>
        <v>0</v>
      </c>
      <c r="O42" s="11"/>
      <c r="P42" s="2">
        <f>--475874.05</f>
        <v>475874.05</v>
      </c>
      <c r="Q42" s="2"/>
      <c r="R42" s="22"/>
      <c r="S42" s="2"/>
      <c r="T42" s="2"/>
      <c r="U42" s="2"/>
      <c r="V42" s="22"/>
      <c r="W42" s="2"/>
      <c r="X42" s="2">
        <f t="shared" si="2"/>
        <v>475874.05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"4113", " - ", "NON-TAXABLE SALES-TRADE BOOKS")</f>
        <v xml:space="preserve">          4113 - NON-TAXABLE SALES-TRADE BOOKS</v>
      </c>
      <c r="C43" s="11"/>
      <c r="D43" s="2">
        <f>--3150</f>
        <v>3150</v>
      </c>
      <c r="E43" s="2"/>
      <c r="F43" s="22"/>
      <c r="G43" s="2"/>
      <c r="H43" s="2"/>
      <c r="I43" s="2"/>
      <c r="J43" s="22"/>
      <c r="K43" s="2"/>
      <c r="L43" s="2">
        <f t="shared" si="0"/>
        <v>3150</v>
      </c>
      <c r="M43" s="2"/>
      <c r="N43" s="22">
        <f t="shared" si="1"/>
        <v>0</v>
      </c>
      <c r="O43" s="11"/>
      <c r="P43" s="2">
        <f>--10139.25</f>
        <v>10139.25</v>
      </c>
      <c r="Q43" s="2"/>
      <c r="R43" s="22"/>
      <c r="S43" s="2"/>
      <c r="T43" s="2"/>
      <c r="U43" s="2"/>
      <c r="V43" s="22"/>
      <c r="W43" s="2"/>
      <c r="X43" s="2">
        <f t="shared" si="2"/>
        <v>10139.25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"4118", " - ", "NON-TAXABLE SALES-STUDY GUIDES")</f>
        <v xml:space="preserve">          4118 - NON-TAXABLE SALES-STUDY GUIDES</v>
      </c>
      <c r="C44" s="11"/>
      <c r="D44" s="2">
        <f t="shared" ref="D44:D45" si="4"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--771.73</f>
        <v>771.73</v>
      </c>
      <c r="Q44" s="2"/>
      <c r="R44" s="22"/>
      <c r="S44" s="2"/>
      <c r="T44" s="2"/>
      <c r="U44" s="2"/>
      <c r="V44" s="22"/>
      <c r="W44" s="2"/>
      <c r="X44" s="2">
        <f t="shared" si="2"/>
        <v>771.73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"4126", " - ", "NON-TAXABLE SALES-WRITING INST")</f>
        <v xml:space="preserve">          4126 - NON-TAXABLE SALES-WRITING INST</v>
      </c>
      <c r="C45" s="11"/>
      <c r="D45" s="2">
        <f t="shared" si="4"/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--52.68</f>
        <v>52.68</v>
      </c>
      <c r="Q45" s="2"/>
      <c r="R45" s="22"/>
      <c r="S45" s="2"/>
      <c r="T45" s="2"/>
      <c r="U45" s="2"/>
      <c r="V45" s="22"/>
      <c r="W45" s="2"/>
      <c r="X45" s="2">
        <f t="shared" si="2"/>
        <v>52.68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"4127", " - ", "NON-TAXABLE SALES-SCHOOL SUPPL")</f>
        <v xml:space="preserve">          4127 - NON-TAXABLE SALES-SCHOOL SUPPL</v>
      </c>
      <c r="C46" s="11"/>
      <c r="D46" s="2">
        <f>--472.19</f>
        <v>472.19</v>
      </c>
      <c r="E46" s="2"/>
      <c r="F46" s="22"/>
      <c r="G46" s="2"/>
      <c r="H46" s="2"/>
      <c r="I46" s="2"/>
      <c r="J46" s="22"/>
      <c r="K46" s="2"/>
      <c r="L46" s="2">
        <f t="shared" si="0"/>
        <v>472.19</v>
      </c>
      <c r="M46" s="2"/>
      <c r="N46" s="22">
        <f t="shared" si="1"/>
        <v>0</v>
      </c>
      <c r="O46" s="11"/>
      <c r="P46" s="2">
        <f>--6217.36</f>
        <v>6217.36</v>
      </c>
      <c r="Q46" s="2"/>
      <c r="R46" s="22"/>
      <c r="S46" s="2"/>
      <c r="T46" s="2"/>
      <c r="U46" s="2"/>
      <c r="V46" s="22"/>
      <c r="W46" s="2"/>
      <c r="X46" s="2">
        <f t="shared" si="2"/>
        <v>6217.36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"4128", " - ", "NON-TAXABLE SALES-ART/TECH")</f>
        <v xml:space="preserve">          4128 - NON-TAXABLE SALES-ART/TECH</v>
      </c>
      <c r="C47" s="11"/>
      <c r="D47" s="2">
        <f>--9.08</f>
        <v>9.08</v>
      </c>
      <c r="E47" s="2"/>
      <c r="F47" s="22"/>
      <c r="G47" s="2"/>
      <c r="H47" s="2"/>
      <c r="I47" s="2"/>
      <c r="J47" s="22"/>
      <c r="K47" s="2"/>
      <c r="L47" s="2">
        <f t="shared" si="0"/>
        <v>9.08</v>
      </c>
      <c r="M47" s="2"/>
      <c r="N47" s="22">
        <f t="shared" si="1"/>
        <v>0</v>
      </c>
      <c r="O47" s="11"/>
      <c r="P47" s="2">
        <f>--38.58</f>
        <v>38.58</v>
      </c>
      <c r="Q47" s="2"/>
      <c r="R47" s="22"/>
      <c r="S47" s="2"/>
      <c r="T47" s="2"/>
      <c r="U47" s="2"/>
      <c r="V47" s="22"/>
      <c r="W47" s="2"/>
      <c r="X47" s="2">
        <f t="shared" si="2"/>
        <v>38.58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"4131", " - ", "NON-TAXABLE SALES-FOOD")</f>
        <v xml:space="preserve">          4131 - NON-TAXABLE SALES-FOOD</v>
      </c>
      <c r="C48" s="11"/>
      <c r="D48" s="2">
        <f>--934.88</f>
        <v>934.88</v>
      </c>
      <c r="E48" s="2"/>
      <c r="F48" s="22"/>
      <c r="G48" s="2"/>
      <c r="H48" s="2"/>
      <c r="I48" s="2"/>
      <c r="J48" s="22"/>
      <c r="K48" s="2"/>
      <c r="L48" s="2">
        <f t="shared" si="0"/>
        <v>934.88</v>
      </c>
      <c r="M48" s="2"/>
      <c r="N48" s="22">
        <f t="shared" si="1"/>
        <v>0</v>
      </c>
      <c r="O48" s="11"/>
      <c r="P48" s="2">
        <f>--9575.15</f>
        <v>9575.15</v>
      </c>
      <c r="Q48" s="2"/>
      <c r="R48" s="22"/>
      <c r="S48" s="2"/>
      <c r="T48" s="2"/>
      <c r="U48" s="2"/>
      <c r="V48" s="22"/>
      <c r="W48" s="2"/>
      <c r="X48" s="2">
        <f t="shared" si="2"/>
        <v>9575.15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ref="D49:D52" si="5"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--22.49</f>
        <v>22.49</v>
      </c>
      <c r="Q49" s="2"/>
      <c r="R49" s="22"/>
      <c r="S49" s="2"/>
      <c r="T49" s="2"/>
      <c r="U49" s="2"/>
      <c r="V49" s="22"/>
      <c r="W49" s="2"/>
      <c r="X49" s="2">
        <f t="shared" si="2"/>
        <v>22.49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5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--80.71</f>
        <v>80.709999999999994</v>
      </c>
      <c r="Q50" s="2"/>
      <c r="R50" s="22"/>
      <c r="S50" s="2"/>
      <c r="T50" s="2"/>
      <c r="U50" s="2"/>
      <c r="V50" s="22"/>
      <c r="W50" s="2"/>
      <c r="X50" s="2">
        <f t="shared" si="2"/>
        <v>80.709999999999994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5"/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--45.53</f>
        <v>45.53</v>
      </c>
      <c r="Q51" s="2"/>
      <c r="R51" s="22"/>
      <c r="S51" s="2"/>
      <c r="T51" s="2"/>
      <c r="U51" s="2"/>
      <c r="V51" s="22"/>
      <c r="W51" s="2"/>
      <c r="X51" s="2">
        <f t="shared" si="2"/>
        <v>45.53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5"/>
        <v>0</v>
      </c>
      <c r="E52" s="2"/>
      <c r="F52" s="22"/>
      <c r="G52" s="2"/>
      <c r="H52" s="2"/>
      <c r="I52" s="2"/>
      <c r="J52" s="22"/>
      <c r="K52" s="2"/>
      <c r="L52" s="2">
        <f t="shared" si="0"/>
        <v>0</v>
      </c>
      <c r="M52" s="2"/>
      <c r="N52" s="22">
        <f t="shared" si="1"/>
        <v>0</v>
      </c>
      <c r="O52" s="11"/>
      <c r="P52" s="2">
        <f>--68.25</f>
        <v>68.25</v>
      </c>
      <c r="Q52" s="2"/>
      <c r="R52" s="22"/>
      <c r="S52" s="2"/>
      <c r="T52" s="2"/>
      <c r="U52" s="2"/>
      <c r="V52" s="22"/>
      <c r="W52" s="2"/>
      <c r="X52" s="2">
        <f t="shared" si="2"/>
        <v>68.25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--1947.86</f>
        <v>1947.86</v>
      </c>
      <c r="E53" s="2"/>
      <c r="F53" s="22"/>
      <c r="G53" s="2"/>
      <c r="H53" s="2"/>
      <c r="I53" s="2"/>
      <c r="J53" s="22"/>
      <c r="K53" s="2"/>
      <c r="L53" s="2">
        <f t="shared" si="0"/>
        <v>1947.86</v>
      </c>
      <c r="M53" s="2"/>
      <c r="N53" s="22">
        <f t="shared" si="1"/>
        <v>0</v>
      </c>
      <c r="O53" s="11"/>
      <c r="P53" s="2">
        <f>--115125.28</f>
        <v>115125.28</v>
      </c>
      <c r="Q53" s="2"/>
      <c r="R53" s="22"/>
      <c r="S53" s="2"/>
      <c r="T53" s="2"/>
      <c r="U53" s="2"/>
      <c r="V53" s="22"/>
      <c r="W53" s="2"/>
      <c r="X53" s="2">
        <f t="shared" si="2"/>
        <v>115125.28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--671.25</f>
        <v>671.25</v>
      </c>
      <c r="E54" s="2"/>
      <c r="F54" s="22"/>
      <c r="G54" s="2"/>
      <c r="H54" s="2"/>
      <c r="I54" s="2"/>
      <c r="J54" s="22"/>
      <c r="K54" s="2"/>
      <c r="L54" s="2">
        <f t="shared" si="0"/>
        <v>671.25</v>
      </c>
      <c r="M54" s="2"/>
      <c r="N54" s="22">
        <f t="shared" si="1"/>
        <v>0</v>
      </c>
      <c r="O54" s="11"/>
      <c r="P54" s="2">
        <f>--8513.02</f>
        <v>8513.02</v>
      </c>
      <c r="Q54" s="2"/>
      <c r="R54" s="22"/>
      <c r="S54" s="2"/>
      <c r="T54" s="2"/>
      <c r="U54" s="2"/>
      <c r="V54" s="22"/>
      <c r="W54" s="2"/>
      <c r="X54" s="2">
        <f t="shared" si="2"/>
        <v>8513.02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--4.58</f>
        <v>4.58</v>
      </c>
      <c r="E55" s="2"/>
      <c r="F55" s="22"/>
      <c r="G55" s="2"/>
      <c r="H55" s="2"/>
      <c r="I55" s="2"/>
      <c r="J55" s="22"/>
      <c r="K55" s="2"/>
      <c r="L55" s="2">
        <f t="shared" si="0"/>
        <v>4.58</v>
      </c>
      <c r="M55" s="2"/>
      <c r="N55" s="22">
        <f t="shared" si="1"/>
        <v>0</v>
      </c>
      <c r="O55" s="11"/>
      <c r="P55" s="2">
        <f>--2264.47</f>
        <v>2264.4699999999998</v>
      </c>
      <c r="Q55" s="2"/>
      <c r="R55" s="22"/>
      <c r="S55" s="2"/>
      <c r="T55" s="2"/>
      <c r="U55" s="2"/>
      <c r="V55" s="22"/>
      <c r="W55" s="2"/>
      <c r="X55" s="2">
        <f t="shared" si="2"/>
        <v>2264.4699999999998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"4143", " - ", "NON-TAXABLE SALES-CARDS")</f>
        <v xml:space="preserve">          4143 - NON-TAXABLE SALES-CARDS</v>
      </c>
      <c r="C56" s="11"/>
      <c r="D56" s="2">
        <f>--149.92</f>
        <v>149.91999999999999</v>
      </c>
      <c r="E56" s="2"/>
      <c r="F56" s="22"/>
      <c r="G56" s="2"/>
      <c r="H56" s="2"/>
      <c r="I56" s="2"/>
      <c r="J56" s="22"/>
      <c r="K56" s="2"/>
      <c r="L56" s="2">
        <f t="shared" si="0"/>
        <v>149.91999999999999</v>
      </c>
      <c r="M56" s="2"/>
      <c r="N56" s="22">
        <f t="shared" si="1"/>
        <v>0</v>
      </c>
      <c r="O56" s="11"/>
      <c r="P56" s="2">
        <f>--2119.66</f>
        <v>2119.66</v>
      </c>
      <c r="Q56" s="2"/>
      <c r="R56" s="22"/>
      <c r="S56" s="2"/>
      <c r="T56" s="2"/>
      <c r="U56" s="2"/>
      <c r="V56" s="22"/>
      <c r="W56" s="2"/>
      <c r="X56" s="2">
        <f t="shared" si="2"/>
        <v>2119.66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--39.95</f>
        <v>39.950000000000003</v>
      </c>
      <c r="E57" s="2"/>
      <c r="F57" s="22"/>
      <c r="G57" s="2"/>
      <c r="H57" s="2"/>
      <c r="I57" s="2"/>
      <c r="J57" s="22"/>
      <c r="K57" s="2"/>
      <c r="L57" s="2">
        <f t="shared" si="0"/>
        <v>39.950000000000003</v>
      </c>
      <c r="M57" s="2"/>
      <c r="N57" s="22">
        <f t="shared" si="1"/>
        <v>0</v>
      </c>
      <c r="O57" s="11"/>
      <c r="P57" s="2">
        <f>--649.35</f>
        <v>649.35</v>
      </c>
      <c r="Q57" s="2"/>
      <c r="R57" s="22"/>
      <c r="S57" s="2"/>
      <c r="T57" s="2"/>
      <c r="U57" s="2"/>
      <c r="V57" s="22"/>
      <c r="W57" s="2"/>
      <c r="X57" s="2">
        <f t="shared" si="2"/>
        <v>649.35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0</f>
        <v>0</v>
      </c>
      <c r="E58" s="2"/>
      <c r="F58" s="22"/>
      <c r="G58" s="2"/>
      <c r="H58" s="2"/>
      <c r="I58" s="2"/>
      <c r="J58" s="22"/>
      <c r="K58" s="2"/>
      <c r="L58" s="2">
        <f t="shared" si="0"/>
        <v>0</v>
      </c>
      <c r="M58" s="2"/>
      <c r="N58" s="22">
        <f t="shared" si="1"/>
        <v>0</v>
      </c>
      <c r="O58" s="11"/>
      <c r="P58" s="2">
        <f>--53716.09</f>
        <v>53716.09</v>
      </c>
      <c r="Q58" s="2"/>
      <c r="R58" s="22"/>
      <c r="S58" s="2"/>
      <c r="T58" s="2"/>
      <c r="U58" s="2"/>
      <c r="V58" s="22"/>
      <c r="W58" s="2"/>
      <c r="X58" s="2">
        <f t="shared" si="2"/>
        <v>53716.09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--67.8</f>
        <v>67.8</v>
      </c>
      <c r="E59" s="2"/>
      <c r="F59" s="22"/>
      <c r="G59" s="2"/>
      <c r="H59" s="2"/>
      <c r="I59" s="2"/>
      <c r="J59" s="22"/>
      <c r="K59" s="2"/>
      <c r="L59" s="2">
        <f t="shared" si="0"/>
        <v>67.8</v>
      </c>
      <c r="M59" s="2"/>
      <c r="N59" s="22">
        <f t="shared" si="1"/>
        <v>0</v>
      </c>
      <c r="O59" s="11"/>
      <c r="P59" s="2">
        <f>--208.4</f>
        <v>208.4</v>
      </c>
      <c r="Q59" s="2"/>
      <c r="R59" s="22"/>
      <c r="S59" s="2"/>
      <c r="T59" s="2"/>
      <c r="U59" s="2"/>
      <c r="V59" s="22"/>
      <c r="W59" s="2"/>
      <c r="X59" s="2">
        <f t="shared" si="2"/>
        <v>208.4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"4147", " - ", "NON-TAXABLE SALES-MISC")</f>
        <v xml:space="preserve">          4147 - NON-TAXABLE SALES-MISC</v>
      </c>
      <c r="C60" s="11"/>
      <c r="D60" s="2">
        <f>--17</f>
        <v>17</v>
      </c>
      <c r="E60" s="2"/>
      <c r="F60" s="22"/>
      <c r="G60" s="2"/>
      <c r="H60" s="2"/>
      <c r="I60" s="2"/>
      <c r="J60" s="22"/>
      <c r="K60" s="2"/>
      <c r="L60" s="2">
        <f t="shared" si="0"/>
        <v>17</v>
      </c>
      <c r="M60" s="2"/>
      <c r="N60" s="22">
        <f t="shared" si="1"/>
        <v>0</v>
      </c>
      <c r="O60" s="11"/>
      <c r="P60" s="2">
        <f>--132.5</f>
        <v>132.5</v>
      </c>
      <c r="Q60" s="2"/>
      <c r="R60" s="22"/>
      <c r="S60" s="2"/>
      <c r="T60" s="2"/>
      <c r="U60" s="2"/>
      <c r="V60" s="22"/>
      <c r="W60" s="2"/>
      <c r="X60" s="2">
        <f t="shared" si="2"/>
        <v>132.5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"4181", " - ", "NON-TAXABLE SALES-ELECTRONICS")</f>
        <v xml:space="preserve">          4181 - NON-TAXABLE SALES-ELECTRONICS</v>
      </c>
      <c r="C61" s="11"/>
      <c r="D61" s="2">
        <f>--6619.94</f>
        <v>6619.94</v>
      </c>
      <c r="E61" s="2"/>
      <c r="F61" s="22"/>
      <c r="G61" s="2"/>
      <c r="H61" s="2"/>
      <c r="I61" s="2"/>
      <c r="J61" s="22"/>
      <c r="K61" s="2"/>
      <c r="L61" s="2">
        <f t="shared" si="0"/>
        <v>6619.94</v>
      </c>
      <c r="M61" s="2"/>
      <c r="N61" s="22">
        <f t="shared" si="1"/>
        <v>0</v>
      </c>
      <c r="O61" s="11"/>
      <c r="P61" s="2">
        <f>--12192.66</f>
        <v>12192.66</v>
      </c>
      <c r="Q61" s="2"/>
      <c r="R61" s="22"/>
      <c r="S61" s="2"/>
      <c r="T61" s="2"/>
      <c r="U61" s="2"/>
      <c r="V61" s="22"/>
      <c r="W61" s="2"/>
      <c r="X61" s="2">
        <f t="shared" si="2"/>
        <v>12192.66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"4182", " - ", "NON-TAXABLE SALES-COMPUTER HAR")</f>
        <v xml:space="preserve">          4182 - NON-TAXABLE SALES-COMPUTER HAR</v>
      </c>
      <c r="C62" s="11"/>
      <c r="D62" s="2">
        <f>--33247.79</f>
        <v>33247.79</v>
      </c>
      <c r="E62" s="2"/>
      <c r="F62" s="22"/>
      <c r="G62" s="2"/>
      <c r="H62" s="2"/>
      <c r="I62" s="2"/>
      <c r="J62" s="22"/>
      <c r="K62" s="2"/>
      <c r="L62" s="2">
        <f t="shared" si="0"/>
        <v>33247.79</v>
      </c>
      <c r="M62" s="2"/>
      <c r="N62" s="22">
        <f t="shared" si="1"/>
        <v>0</v>
      </c>
      <c r="O62" s="11"/>
      <c r="P62" s="2">
        <f>--219646.99</f>
        <v>219646.99</v>
      </c>
      <c r="Q62" s="2"/>
      <c r="R62" s="22"/>
      <c r="S62" s="2"/>
      <c r="T62" s="2"/>
      <c r="U62" s="2"/>
      <c r="V62" s="22"/>
      <c r="W62" s="2"/>
      <c r="X62" s="2">
        <f t="shared" si="2"/>
        <v>219646.99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"4183", " - ", "NON-TAXABLE SALES-COMPUTER EQU")</f>
        <v xml:space="preserve">          4183 - NON-TAXABLE SALES-COMPUTER EQU</v>
      </c>
      <c r="C63" s="11"/>
      <c r="D63" s="2">
        <f>--3104.68</f>
        <v>3104.68</v>
      </c>
      <c r="E63" s="2"/>
      <c r="F63" s="22"/>
      <c r="G63" s="2"/>
      <c r="H63" s="2"/>
      <c r="I63" s="2"/>
      <c r="J63" s="22"/>
      <c r="K63" s="2"/>
      <c r="L63" s="2">
        <f t="shared" si="0"/>
        <v>3104.68</v>
      </c>
      <c r="M63" s="2"/>
      <c r="N63" s="22">
        <f t="shared" si="1"/>
        <v>0</v>
      </c>
      <c r="O63" s="11"/>
      <c r="P63" s="2">
        <f>--13622.82</f>
        <v>13622.82</v>
      </c>
      <c r="Q63" s="2"/>
      <c r="R63" s="22"/>
      <c r="S63" s="2"/>
      <c r="T63" s="2"/>
      <c r="U63" s="2"/>
      <c r="V63" s="22"/>
      <c r="W63" s="2"/>
      <c r="X63" s="2">
        <f t="shared" si="2"/>
        <v>13622.82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"4185", " - ", "NON-TAXABLE SALES-SOFTWARE")</f>
        <v xml:space="preserve">          4185 - NON-TAXABLE SALES-SOFTWARE</v>
      </c>
      <c r="C64" s="11"/>
      <c r="D64" s="2">
        <f>--5296.67</f>
        <v>5296.67</v>
      </c>
      <c r="E64" s="2"/>
      <c r="F64" s="22"/>
      <c r="G64" s="2"/>
      <c r="H64" s="2"/>
      <c r="I64" s="2"/>
      <c r="J64" s="22"/>
      <c r="K64" s="2"/>
      <c r="L64" s="2">
        <f t="shared" si="0"/>
        <v>5296.67</v>
      </c>
      <c r="M64" s="2"/>
      <c r="N64" s="22">
        <f t="shared" si="1"/>
        <v>0</v>
      </c>
      <c r="O64" s="11"/>
      <c r="P64" s="2">
        <f>--35127.19</f>
        <v>35127.19</v>
      </c>
      <c r="Q64" s="2"/>
      <c r="R64" s="22"/>
      <c r="S64" s="2"/>
      <c r="T64" s="2"/>
      <c r="U64" s="2"/>
      <c r="V64" s="22"/>
      <c r="W64" s="2"/>
      <c r="X64" s="2">
        <f t="shared" si="2"/>
        <v>35127.19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"4186", " - ", "NON-TAXABLE SALES-COMPUTER SUP")</f>
        <v xml:space="preserve">          4186 - NON-TAXABLE SALES-COMPUTER SUP</v>
      </c>
      <c r="C65" s="11"/>
      <c r="D65" s="2">
        <f>--345.23</f>
        <v>345.23</v>
      </c>
      <c r="E65" s="2"/>
      <c r="F65" s="22"/>
      <c r="G65" s="2"/>
      <c r="H65" s="2"/>
      <c r="I65" s="2"/>
      <c r="J65" s="22"/>
      <c r="K65" s="2"/>
      <c r="L65" s="2">
        <f t="shared" si="0"/>
        <v>345.23</v>
      </c>
      <c r="M65" s="2"/>
      <c r="N65" s="22">
        <f t="shared" si="1"/>
        <v>0</v>
      </c>
      <c r="O65" s="11"/>
      <c r="P65" s="2">
        <f>--2830.26</f>
        <v>2830.26</v>
      </c>
      <c r="Q65" s="2"/>
      <c r="R65" s="22"/>
      <c r="S65" s="2"/>
      <c r="T65" s="2"/>
      <c r="U65" s="2"/>
      <c r="V65" s="22"/>
      <c r="W65" s="2"/>
      <c r="X65" s="2">
        <f t="shared" si="2"/>
        <v>2830.26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>-2146.49</f>
        <v>-2146.4899999999998</v>
      </c>
      <c r="E66" s="2"/>
      <c r="F66" s="22"/>
      <c r="G66" s="2"/>
      <c r="H66" s="2"/>
      <c r="I66" s="2"/>
      <c r="J66" s="22"/>
      <c r="K66" s="2"/>
      <c r="L66" s="2">
        <f t="shared" si="0"/>
        <v>-2146.4899999999998</v>
      </c>
      <c r="M66" s="2"/>
      <c r="N66" s="22">
        <f t="shared" si="1"/>
        <v>0</v>
      </c>
      <c r="O66" s="11"/>
      <c r="P66" s="2">
        <f>-50664.23</f>
        <v>-50664.23</v>
      </c>
      <c r="Q66" s="2"/>
      <c r="R66" s="22"/>
      <c r="S66" s="2"/>
      <c r="T66" s="2"/>
      <c r="U66" s="2"/>
      <c r="V66" s="22"/>
      <c r="W66" s="2"/>
      <c r="X66" s="2">
        <f t="shared" si="2"/>
        <v>-50664.23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>-1199.21</f>
        <v>-1199.21</v>
      </c>
      <c r="E67" s="2"/>
      <c r="F67" s="22"/>
      <c r="G67" s="2"/>
      <c r="H67" s="2"/>
      <c r="I67" s="2"/>
      <c r="J67" s="22"/>
      <c r="K67" s="2"/>
      <c r="L67" s="2">
        <f t="shared" si="0"/>
        <v>-1199.21</v>
      </c>
      <c r="M67" s="2"/>
      <c r="N67" s="22">
        <f t="shared" si="1"/>
        <v>0</v>
      </c>
      <c r="O67" s="11"/>
      <c r="P67" s="2">
        <f>-19735.51</f>
        <v>-19735.509999999998</v>
      </c>
      <c r="Q67" s="2"/>
      <c r="R67" s="22"/>
      <c r="S67" s="2"/>
      <c r="T67" s="2"/>
      <c r="U67" s="2"/>
      <c r="V67" s="22"/>
      <c r="W67" s="2"/>
      <c r="X67" s="2">
        <f t="shared" si="2"/>
        <v>-19735.509999999998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>-132.25</f>
        <v>-132.25</v>
      </c>
      <c r="E68" s="2"/>
      <c r="F68" s="22"/>
      <c r="G68" s="2"/>
      <c r="H68" s="2"/>
      <c r="I68" s="2"/>
      <c r="J68" s="22"/>
      <c r="K68" s="2"/>
      <c r="L68" s="2">
        <f t="shared" si="0"/>
        <v>-132.25</v>
      </c>
      <c r="M68" s="2"/>
      <c r="N68" s="22">
        <f t="shared" si="1"/>
        <v>0</v>
      </c>
      <c r="O68" s="11"/>
      <c r="P68" s="2">
        <f>-1763.1</f>
        <v>-1763.1</v>
      </c>
      <c r="Q68" s="2"/>
      <c r="R68" s="22"/>
      <c r="S68" s="2"/>
      <c r="T68" s="2"/>
      <c r="U68" s="2"/>
      <c r="V68" s="22"/>
      <c r="W68" s="2"/>
      <c r="X68" s="2">
        <f t="shared" si="2"/>
        <v>-1763.1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"4213", " - ", "NON-TAXABLE SALES-TRADE BOOKS")</f>
        <v xml:space="preserve">          4213 - NON-TAXABLE SALES-TRADE BOOKS</v>
      </c>
      <c r="C69" s="11"/>
      <c r="D69" s="2">
        <f>-69.93</f>
        <v>-69.930000000000007</v>
      </c>
      <c r="E69" s="2"/>
      <c r="F69" s="22"/>
      <c r="G69" s="2"/>
      <c r="H69" s="2"/>
      <c r="I69" s="2"/>
      <c r="J69" s="22"/>
      <c r="K69" s="2"/>
      <c r="L69" s="2">
        <f t="shared" si="0"/>
        <v>-69.930000000000007</v>
      </c>
      <c r="M69" s="2"/>
      <c r="N69" s="22">
        <f t="shared" si="1"/>
        <v>0</v>
      </c>
      <c r="O69" s="11"/>
      <c r="P69" s="2">
        <f>-69.93</f>
        <v>-69.930000000000007</v>
      </c>
      <c r="Q69" s="2"/>
      <c r="R69" s="22"/>
      <c r="S69" s="2"/>
      <c r="T69" s="2"/>
      <c r="U69" s="2"/>
      <c r="V69" s="22"/>
      <c r="W69" s="2"/>
      <c r="X69" s="2">
        <f t="shared" si="2"/>
        <v>-69.930000000000007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"4226", " - ", "SALES RETURN TAXABLE-WRITING I")</f>
        <v xml:space="preserve">          4226 - SALES RETURN TAXABLE-WRITING I</v>
      </c>
      <c r="C70" s="11"/>
      <c r="D70" s="2">
        <f>0</f>
        <v>0</v>
      </c>
      <c r="E70" s="2"/>
      <c r="F70" s="22"/>
      <c r="G70" s="2"/>
      <c r="H70" s="2"/>
      <c r="I70" s="2"/>
      <c r="J70" s="22"/>
      <c r="K70" s="2"/>
      <c r="L70" s="2">
        <f t="shared" si="0"/>
        <v>0</v>
      </c>
      <c r="M70" s="2"/>
      <c r="N70" s="22">
        <f t="shared" si="1"/>
        <v>0</v>
      </c>
      <c r="O70" s="11"/>
      <c r="P70" s="2">
        <f>-34.23</f>
        <v>-34.229999999999997</v>
      </c>
      <c r="Q70" s="2"/>
      <c r="R70" s="22"/>
      <c r="S70" s="2"/>
      <c r="T70" s="2"/>
      <c r="U70" s="2"/>
      <c r="V70" s="22"/>
      <c r="W70" s="2"/>
      <c r="X70" s="2">
        <f t="shared" si="2"/>
        <v>-34.229999999999997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"4227", " - ", "SALES RETURN TAXABLE-SCHOOL SU")</f>
        <v xml:space="preserve">          4227 - SALES RETURN TAXABLE-SCHOOL SU</v>
      </c>
      <c r="C71" s="11"/>
      <c r="D71" s="2">
        <f>-19.05</f>
        <v>-19.05</v>
      </c>
      <c r="E71" s="2"/>
      <c r="F71" s="22"/>
      <c r="G71" s="2"/>
      <c r="H71" s="2"/>
      <c r="I71" s="2"/>
      <c r="J71" s="22"/>
      <c r="K71" s="2"/>
      <c r="L71" s="2">
        <f t="shared" si="0"/>
        <v>-19.05</v>
      </c>
      <c r="M71" s="2"/>
      <c r="N71" s="22">
        <f t="shared" si="1"/>
        <v>0</v>
      </c>
      <c r="O71" s="11"/>
      <c r="P71" s="2">
        <f>-781.73</f>
        <v>-781.73</v>
      </c>
      <c r="Q71" s="2"/>
      <c r="R71" s="22"/>
      <c r="S71" s="2"/>
      <c r="T71" s="2"/>
      <c r="U71" s="2"/>
      <c r="V71" s="22"/>
      <c r="W71" s="2"/>
      <c r="X71" s="2">
        <f t="shared" si="2"/>
        <v>-781.73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"4228", " - ", "SALES RETURN TAXABLE-ART/TECH")</f>
        <v xml:space="preserve">          4228 - SALES RETURN TAXABLE-ART/TECH</v>
      </c>
      <c r="C72" s="11"/>
      <c r="D72" s="2">
        <f>-10.71</f>
        <v>-10.71</v>
      </c>
      <c r="E72" s="2"/>
      <c r="F72" s="22"/>
      <c r="G72" s="2"/>
      <c r="H72" s="2"/>
      <c r="I72" s="2"/>
      <c r="J72" s="22"/>
      <c r="K72" s="2"/>
      <c r="L72" s="2">
        <f t="shared" si="0"/>
        <v>-10.71</v>
      </c>
      <c r="M72" s="2"/>
      <c r="N72" s="22">
        <f t="shared" si="1"/>
        <v>0</v>
      </c>
      <c r="O72" s="11"/>
      <c r="P72" s="2">
        <f>-12739.24</f>
        <v>-12739.24</v>
      </c>
      <c r="Q72" s="2"/>
      <c r="R72" s="22"/>
      <c r="S72" s="2"/>
      <c r="T72" s="2"/>
      <c r="U72" s="2"/>
      <c r="V72" s="22"/>
      <c r="W72" s="2"/>
      <c r="X72" s="2">
        <f t="shared" si="2"/>
        <v>-12739.24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"4240", " - ", "SALES RETURN TAXABLE-LOGO CLOT")</f>
        <v xml:space="preserve">          4240 - SALES RETURN TAXABLE-LOGO CLOT</v>
      </c>
      <c r="C73" s="11"/>
      <c r="D73" s="2">
        <f>-3542.64</f>
        <v>-3542.64</v>
      </c>
      <c r="E73" s="2"/>
      <c r="F73" s="22"/>
      <c r="G73" s="2"/>
      <c r="H73" s="2"/>
      <c r="I73" s="2"/>
      <c r="J73" s="22"/>
      <c r="K73" s="2"/>
      <c r="L73" s="2">
        <f t="shared" si="0"/>
        <v>-3542.64</v>
      </c>
      <c r="M73" s="2"/>
      <c r="N73" s="22">
        <f t="shared" si="1"/>
        <v>0</v>
      </c>
      <c r="O73" s="11"/>
      <c r="P73" s="2">
        <f>-31129.51</f>
        <v>-31129.51</v>
      </c>
      <c r="Q73" s="2"/>
      <c r="R73" s="22"/>
      <c r="S73" s="2"/>
      <c r="T73" s="2"/>
      <c r="U73" s="2"/>
      <c r="V73" s="22"/>
      <c r="W73" s="2"/>
      <c r="X73" s="2">
        <f t="shared" si="2"/>
        <v>-31129.51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"4241", " - ", "SALES RETURN TAXABLE-LOGO GIFT")</f>
        <v xml:space="preserve">          4241 - SALES RETURN TAXABLE-LOGO GIFT</v>
      </c>
      <c r="C74" s="11"/>
      <c r="D74" s="2">
        <f>-338.05</f>
        <v>-338.05</v>
      </c>
      <c r="E74" s="2"/>
      <c r="F74" s="22"/>
      <c r="G74" s="2"/>
      <c r="H74" s="2"/>
      <c r="I74" s="2"/>
      <c r="J74" s="22"/>
      <c r="K74" s="2"/>
      <c r="L74" s="2">
        <f t="shared" si="0"/>
        <v>-338.05</v>
      </c>
      <c r="M74" s="2"/>
      <c r="N74" s="22">
        <f t="shared" si="1"/>
        <v>0</v>
      </c>
      <c r="O74" s="11"/>
      <c r="P74" s="2">
        <f>-5295.52</f>
        <v>-5295.52</v>
      </c>
      <c r="Q74" s="2"/>
      <c r="R74" s="22"/>
      <c r="S74" s="2"/>
      <c r="T74" s="2"/>
      <c r="U74" s="2"/>
      <c r="V74" s="22"/>
      <c r="W74" s="2"/>
      <c r="X74" s="2">
        <f t="shared" si="2"/>
        <v>-5295.52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"4242", " - ", "SALES RETURN TAXABLE-EVERYDAY")</f>
        <v xml:space="preserve">          4242 - SALES RETURN TAXABLE-EVERYDAY</v>
      </c>
      <c r="C75" s="11"/>
      <c r="D75" s="2">
        <f>-44.96</f>
        <v>-44.96</v>
      </c>
      <c r="E75" s="2"/>
      <c r="F75" s="22"/>
      <c r="G75" s="2"/>
      <c r="H75" s="2"/>
      <c r="I75" s="2"/>
      <c r="J75" s="22"/>
      <c r="K75" s="2"/>
      <c r="L75" s="2">
        <f t="shared" si="0"/>
        <v>-44.96</v>
      </c>
      <c r="M75" s="2"/>
      <c r="N75" s="22">
        <f t="shared" si="1"/>
        <v>0</v>
      </c>
      <c r="O75" s="11"/>
      <c r="P75" s="2">
        <f>-1738.74</f>
        <v>-1738.74</v>
      </c>
      <c r="Q75" s="2"/>
      <c r="R75" s="22"/>
      <c r="S75" s="2"/>
      <c r="T75" s="2"/>
      <c r="U75" s="2"/>
      <c r="V75" s="22"/>
      <c r="W75" s="2"/>
      <c r="X75" s="2">
        <f t="shared" si="2"/>
        <v>-1738.74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"4243", " - ", "SALES RETURN TAXABLE-CARDS")</f>
        <v xml:space="preserve">          4243 - SALES RETURN TAXABLE-CARDS</v>
      </c>
      <c r="C76" s="11"/>
      <c r="D76" s="2">
        <f>-369.81</f>
        <v>-369.81</v>
      </c>
      <c r="E76" s="2"/>
      <c r="F76" s="22"/>
      <c r="G76" s="2"/>
      <c r="H76" s="2"/>
      <c r="I76" s="2"/>
      <c r="J76" s="22"/>
      <c r="K76" s="2"/>
      <c r="L76" s="2">
        <f t="shared" si="0"/>
        <v>-369.81</v>
      </c>
      <c r="M76" s="2"/>
      <c r="N76" s="22">
        <f t="shared" si="1"/>
        <v>0</v>
      </c>
      <c r="O76" s="11"/>
      <c r="P76" s="2">
        <f>-5369.6</f>
        <v>-5369.6</v>
      </c>
      <c r="Q76" s="2"/>
      <c r="R76" s="22"/>
      <c r="S76" s="2"/>
      <c r="T76" s="2"/>
      <c r="U76" s="2"/>
      <c r="V76" s="22"/>
      <c r="W76" s="2"/>
      <c r="X76" s="2">
        <f t="shared" si="2"/>
        <v>-5369.6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"4244", " - ", "SALES RETURN TAXABLE-ACCESSORI")</f>
        <v xml:space="preserve">          4244 - SALES RETURN TAXABLE-ACCESSORI</v>
      </c>
      <c r="C77" s="11"/>
      <c r="D77" s="2">
        <f>-9.99</f>
        <v>-9.99</v>
      </c>
      <c r="E77" s="2"/>
      <c r="F77" s="22"/>
      <c r="G77" s="2"/>
      <c r="H77" s="2"/>
      <c r="I77" s="2"/>
      <c r="J77" s="22"/>
      <c r="K77" s="2"/>
      <c r="L77" s="2">
        <f t="shared" si="0"/>
        <v>-9.99</v>
      </c>
      <c r="M77" s="2"/>
      <c r="N77" s="22">
        <f t="shared" si="1"/>
        <v>0</v>
      </c>
      <c r="O77" s="11"/>
      <c r="P77" s="2">
        <f>-994.84</f>
        <v>-994.84</v>
      </c>
      <c r="Q77" s="2"/>
      <c r="R77" s="22"/>
      <c r="S77" s="2"/>
      <c r="T77" s="2"/>
      <c r="U77" s="2"/>
      <c r="V77" s="22"/>
      <c r="W77" s="2"/>
      <c r="X77" s="2">
        <f t="shared" si="2"/>
        <v>-994.84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"4245", " - ", "SALES RETURN TAXABLE-SPECIAL O")</f>
        <v xml:space="preserve">          4245 - SALES RETURN TAXABLE-SPECIAL O</v>
      </c>
      <c r="C78" s="11"/>
      <c r="D78" s="2">
        <f>-7.98</f>
        <v>-7.98</v>
      </c>
      <c r="E78" s="2"/>
      <c r="F78" s="22"/>
      <c r="G78" s="2"/>
      <c r="H78" s="2"/>
      <c r="I78" s="2"/>
      <c r="J78" s="22"/>
      <c r="K78" s="2"/>
      <c r="L78" s="2">
        <f t="shared" si="0"/>
        <v>-7.98</v>
      </c>
      <c r="M78" s="2"/>
      <c r="N78" s="22">
        <f t="shared" si="1"/>
        <v>0</v>
      </c>
      <c r="O78" s="11"/>
      <c r="P78" s="2">
        <f>-11353.59</f>
        <v>-11353.59</v>
      </c>
      <c r="Q78" s="2"/>
      <c r="R78" s="22"/>
      <c r="S78" s="2"/>
      <c r="T78" s="2"/>
      <c r="U78" s="2"/>
      <c r="V78" s="22"/>
      <c r="W78" s="2"/>
      <c r="X78" s="2">
        <f t="shared" si="2"/>
        <v>-11353.59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"4281", " - ", "SALES RETURN TAXABLE-ELECTRONI")</f>
        <v xml:space="preserve">          4281 - SALES RETURN TAXABLE-ELECTRONI</v>
      </c>
      <c r="C79" s="11"/>
      <c r="D79" s="2">
        <f>0</f>
        <v>0</v>
      </c>
      <c r="E79" s="2"/>
      <c r="F79" s="22"/>
      <c r="G79" s="2"/>
      <c r="H79" s="2"/>
      <c r="I79" s="2"/>
      <c r="J79" s="22"/>
      <c r="K79" s="2"/>
      <c r="L79" s="2">
        <f t="shared" si="0"/>
        <v>0</v>
      </c>
      <c r="M79" s="2"/>
      <c r="N79" s="22">
        <f t="shared" si="1"/>
        <v>0</v>
      </c>
      <c r="O79" s="11"/>
      <c r="P79" s="2">
        <f>-14762.14</f>
        <v>-14762.14</v>
      </c>
      <c r="Q79" s="2"/>
      <c r="R79" s="22"/>
      <c r="S79" s="2"/>
      <c r="T79" s="2"/>
      <c r="U79" s="2"/>
      <c r="V79" s="22"/>
      <c r="W79" s="2"/>
      <c r="X79" s="2">
        <f t="shared" si="2"/>
        <v>-14762.14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"4282", " - ", "SALES RETURN TAXABLE-COMPUTER")</f>
        <v xml:space="preserve">          4282 - SALES RETURN TAXABLE-COMPUTER</v>
      </c>
      <c r="C80" s="11"/>
      <c r="D80" s="2">
        <f>-32711.15</f>
        <v>-32711.15</v>
      </c>
      <c r="E80" s="2"/>
      <c r="F80" s="22"/>
      <c r="G80" s="2"/>
      <c r="H80" s="2"/>
      <c r="I80" s="2"/>
      <c r="J80" s="22"/>
      <c r="K80" s="2"/>
      <c r="L80" s="2">
        <f t="shared" si="0"/>
        <v>-32711.15</v>
      </c>
      <c r="M80" s="2"/>
      <c r="N80" s="22">
        <f t="shared" si="1"/>
        <v>0</v>
      </c>
      <c r="O80" s="11"/>
      <c r="P80" s="2">
        <f>-129628.16</f>
        <v>-129628.16</v>
      </c>
      <c r="Q80" s="2"/>
      <c r="R80" s="22"/>
      <c r="S80" s="2"/>
      <c r="T80" s="2"/>
      <c r="U80" s="2"/>
      <c r="V80" s="22"/>
      <c r="W80" s="2"/>
      <c r="X80" s="2">
        <f t="shared" si="2"/>
        <v>-129628.16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"4283", " - ", "SALES RETURN TAXABLE-COMPUTER")</f>
        <v xml:space="preserve">          4283 - SALES RETURN TAXABLE-COMPUTER</v>
      </c>
      <c r="C81" s="11"/>
      <c r="D81" s="2">
        <f>-212.99</f>
        <v>-212.99</v>
      </c>
      <c r="E81" s="2"/>
      <c r="F81" s="22"/>
      <c r="G81" s="2"/>
      <c r="H81" s="2"/>
      <c r="I81" s="2"/>
      <c r="J81" s="22"/>
      <c r="K81" s="2"/>
      <c r="L81" s="2">
        <f t="shared" si="0"/>
        <v>-212.99</v>
      </c>
      <c r="M81" s="2"/>
      <c r="N81" s="22">
        <f t="shared" si="1"/>
        <v>0</v>
      </c>
      <c r="O81" s="11"/>
      <c r="P81" s="2">
        <f>-3359.28</f>
        <v>-3359.28</v>
      </c>
      <c r="Q81" s="2"/>
      <c r="R81" s="22"/>
      <c r="S81" s="2"/>
      <c r="T81" s="2"/>
      <c r="U81" s="2"/>
      <c r="V81" s="22"/>
      <c r="W81" s="2"/>
      <c r="X81" s="2">
        <f t="shared" si="2"/>
        <v>-3359.28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"4285", " - ", "SALES RETURN TAXABLE-SOFTWARE")</f>
        <v xml:space="preserve">          4285 - SALES RETURN TAXABLE-SOFTWARE</v>
      </c>
      <c r="C82" s="11"/>
      <c r="D82" s="2">
        <f>-149.99</f>
        <v>-149.99</v>
      </c>
      <c r="E82" s="2"/>
      <c r="F82" s="22"/>
      <c r="G82" s="2"/>
      <c r="H82" s="2"/>
      <c r="I82" s="2"/>
      <c r="J82" s="22"/>
      <c r="K82" s="2"/>
      <c r="L82" s="2">
        <f t="shared" si="0"/>
        <v>-149.99</v>
      </c>
      <c r="M82" s="2"/>
      <c r="N82" s="22">
        <f t="shared" si="1"/>
        <v>0</v>
      </c>
      <c r="O82" s="11"/>
      <c r="P82" s="2">
        <f>-841.97</f>
        <v>-841.97</v>
      </c>
      <c r="Q82" s="2"/>
      <c r="R82" s="22"/>
      <c r="S82" s="2"/>
      <c r="T82" s="2"/>
      <c r="U82" s="2"/>
      <c r="V82" s="22"/>
      <c r="W82" s="2"/>
      <c r="X82" s="2">
        <f t="shared" si="2"/>
        <v>-841.97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"4286", " - ", "SALES RETURN TAXABLE-COMPUTER")</f>
        <v xml:space="preserve">          4286 - SALES RETURN TAXABLE-COMPUTER</v>
      </c>
      <c r="C83" s="11"/>
      <c r="D83" s="2">
        <f>-34.97</f>
        <v>-34.97</v>
      </c>
      <c r="E83" s="2"/>
      <c r="F83" s="22"/>
      <c r="G83" s="2"/>
      <c r="H83" s="2"/>
      <c r="I83" s="2"/>
      <c r="J83" s="22"/>
      <c r="K83" s="2"/>
      <c r="L83" s="2">
        <f t="shared" si="0"/>
        <v>-34.97</v>
      </c>
      <c r="M83" s="2"/>
      <c r="N83" s="22">
        <f t="shared" si="1"/>
        <v>0</v>
      </c>
      <c r="O83" s="11"/>
      <c r="P83" s="2">
        <f>-4762.31</f>
        <v>-4762.3100000000004</v>
      </c>
      <c r="Q83" s="2"/>
      <c r="R83" s="22"/>
      <c r="S83" s="2"/>
      <c r="T83" s="2"/>
      <c r="U83" s="2"/>
      <c r="V83" s="22"/>
      <c r="W83" s="2"/>
      <c r="X83" s="2">
        <f t="shared" si="2"/>
        <v>-4762.3100000000004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>-231.5</f>
        <v>-231.5</v>
      </c>
      <c r="E84" s="2"/>
      <c r="F84" s="22"/>
      <c r="G84" s="2"/>
      <c r="H84" s="2"/>
      <c r="I84" s="2"/>
      <c r="J84" s="22"/>
      <c r="K84" s="2"/>
      <c r="L84" s="2">
        <f t="shared" si="0"/>
        <v>-231.5</v>
      </c>
      <c r="M84" s="2"/>
      <c r="N84" s="22">
        <f t="shared" si="1"/>
        <v>0</v>
      </c>
      <c r="O84" s="11"/>
      <c r="P84" s="2">
        <f>-3237.29</f>
        <v>-3237.29</v>
      </c>
      <c r="Q84" s="2"/>
      <c r="R84" s="22"/>
      <c r="S84" s="2"/>
      <c r="T84" s="2"/>
      <c r="U84" s="2"/>
      <c r="V84" s="22"/>
      <c r="W84" s="2"/>
      <c r="X84" s="2">
        <f t="shared" si="2"/>
        <v>-3237.29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>-70.32</f>
        <v>-70.319999999999993</v>
      </c>
      <c r="E85" s="2"/>
      <c r="F85" s="22"/>
      <c r="G85" s="2"/>
      <c r="H85" s="2"/>
      <c r="I85" s="2"/>
      <c r="J85" s="22"/>
      <c r="K85" s="2"/>
      <c r="L85" s="2">
        <f t="shared" si="0"/>
        <v>-70.319999999999993</v>
      </c>
      <c r="M85" s="2"/>
      <c r="N85" s="22">
        <f t="shared" si="1"/>
        <v>0</v>
      </c>
      <c r="O85" s="11"/>
      <c r="P85" s="2">
        <f>-2073.48</f>
        <v>-2073.48</v>
      </c>
      <c r="Q85" s="2"/>
      <c r="R85" s="22"/>
      <c r="S85" s="2"/>
      <c r="T85" s="2"/>
      <c r="U85" s="2"/>
      <c r="V85" s="22"/>
      <c r="W85" s="2"/>
      <c r="X85" s="2">
        <f t="shared" si="2"/>
        <v>-2073.48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>-2172.95</f>
        <v>-2172.9499999999998</v>
      </c>
      <c r="E86" s="2"/>
      <c r="F86" s="22"/>
      <c r="G86" s="2"/>
      <c r="H86" s="2"/>
      <c r="I86" s="2"/>
      <c r="J86" s="22"/>
      <c r="K86" s="2"/>
      <c r="L86" s="2">
        <f t="shared" si="0"/>
        <v>-2172.9499999999998</v>
      </c>
      <c r="M86" s="2"/>
      <c r="N86" s="22">
        <f t="shared" si="1"/>
        <v>0</v>
      </c>
      <c r="O86" s="11"/>
      <c r="P86" s="2">
        <f>-27268.72</f>
        <v>-27268.720000000001</v>
      </c>
      <c r="Q86" s="2"/>
      <c r="R86" s="22"/>
      <c r="S86" s="2"/>
      <c r="T86" s="2"/>
      <c r="U86" s="2"/>
      <c r="V86" s="22"/>
      <c r="W86" s="2"/>
      <c r="X86" s="2">
        <f t="shared" si="2"/>
        <v>-27268.720000000001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"4340", " - ", "SALES RETURN NON TAXABLE-LOGO")</f>
        <v xml:space="preserve">          4340 - SALES RETURN NON TAXABLE-LOGO</v>
      </c>
      <c r="C87" s="11"/>
      <c r="D87" s="2">
        <f>-76.9</f>
        <v>-76.900000000000006</v>
      </c>
      <c r="E87" s="2"/>
      <c r="F87" s="22"/>
      <c r="G87" s="2"/>
      <c r="H87" s="2"/>
      <c r="I87" s="2"/>
      <c r="J87" s="22"/>
      <c r="K87" s="2"/>
      <c r="L87" s="2">
        <f t="shared" si="0"/>
        <v>-76.900000000000006</v>
      </c>
      <c r="M87" s="2"/>
      <c r="N87" s="22">
        <f t="shared" si="1"/>
        <v>0</v>
      </c>
      <c r="O87" s="11"/>
      <c r="P87" s="2">
        <f>-2292.84</f>
        <v>-2292.84</v>
      </c>
      <c r="Q87" s="2"/>
      <c r="R87" s="22"/>
      <c r="S87" s="2"/>
      <c r="T87" s="2"/>
      <c r="U87" s="2"/>
      <c r="V87" s="22"/>
      <c r="W87" s="2"/>
      <c r="X87" s="2">
        <f t="shared" si="2"/>
        <v>-2292.84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"4341", " - ", "SALES RETURN NON TAXABLE-LOGO")</f>
        <v xml:space="preserve">          4341 - SALES RETURN NON TAXABLE-LOGO</v>
      </c>
      <c r="C88" s="11"/>
      <c r="D88" s="2">
        <f t="shared" ref="D88:D90" si="6">0</f>
        <v>0</v>
      </c>
      <c r="E88" s="2"/>
      <c r="F88" s="22"/>
      <c r="G88" s="2"/>
      <c r="H88" s="2"/>
      <c r="I88" s="2"/>
      <c r="J88" s="22"/>
      <c r="K88" s="2"/>
      <c r="L88" s="2">
        <f t="shared" si="0"/>
        <v>0</v>
      </c>
      <c r="M88" s="2"/>
      <c r="N88" s="22">
        <f t="shared" si="1"/>
        <v>0</v>
      </c>
      <c r="O88" s="11"/>
      <c r="P88" s="2">
        <f>-362.64</f>
        <v>-362.64</v>
      </c>
      <c r="Q88" s="2"/>
      <c r="R88" s="22"/>
      <c r="S88" s="2"/>
      <c r="T88" s="2"/>
      <c r="U88" s="2"/>
      <c r="V88" s="22"/>
      <c r="W88" s="2"/>
      <c r="X88" s="2">
        <f t="shared" si="2"/>
        <v>-362.64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"4342", " - ", "SALES RETURN NON TAXABLE-EVERY")</f>
        <v xml:space="preserve">          4342 - SALES RETURN NON TAXABLE-EVERY</v>
      </c>
      <c r="C89" s="11"/>
      <c r="D89" s="2">
        <f t="shared" si="6"/>
        <v>0</v>
      </c>
      <c r="E89" s="2"/>
      <c r="F89" s="22"/>
      <c r="G89" s="2"/>
      <c r="H89" s="2"/>
      <c r="I89" s="2"/>
      <c r="J89" s="22"/>
      <c r="K89" s="2"/>
      <c r="L89" s="2">
        <f t="shared" si="0"/>
        <v>0</v>
      </c>
      <c r="M89" s="2"/>
      <c r="N89" s="22">
        <f t="shared" si="1"/>
        <v>0</v>
      </c>
      <c r="O89" s="11"/>
      <c r="P89" s="2">
        <f>-118.7</f>
        <v>-118.7</v>
      </c>
      <c r="Q89" s="2"/>
      <c r="R89" s="22"/>
      <c r="S89" s="2"/>
      <c r="T89" s="2"/>
      <c r="U89" s="2"/>
      <c r="V89" s="22"/>
      <c r="W89" s="2"/>
      <c r="X89" s="2">
        <f t="shared" si="2"/>
        <v>-118.7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"4381", " - ", "SALES RETURN NON TAXABLE-ELECT")</f>
        <v xml:space="preserve">          4381 - SALES RETURN NON TAXABLE-ELECT</v>
      </c>
      <c r="C90" s="11"/>
      <c r="D90" s="2">
        <f t="shared" si="6"/>
        <v>0</v>
      </c>
      <c r="E90" s="2"/>
      <c r="F90" s="22"/>
      <c r="G90" s="2"/>
      <c r="H90" s="2"/>
      <c r="I90" s="2"/>
      <c r="J90" s="22"/>
      <c r="K90" s="2"/>
      <c r="L90" s="2">
        <f t="shared" si="0"/>
        <v>0</v>
      </c>
      <c r="M90" s="2"/>
      <c r="N90" s="22">
        <f t="shared" si="1"/>
        <v>0</v>
      </c>
      <c r="O90" s="11"/>
      <c r="P90" s="2">
        <f>-5624.15</f>
        <v>-5624.15</v>
      </c>
      <c r="Q90" s="2"/>
      <c r="R90" s="22"/>
      <c r="S90" s="2"/>
      <c r="T90" s="2"/>
      <c r="U90" s="2"/>
      <c r="V90" s="22"/>
      <c r="W90" s="2"/>
      <c r="X90" s="2">
        <f t="shared" si="2"/>
        <v>-5624.15</v>
      </c>
      <c r="Y90" s="2"/>
      <c r="Z90" s="22">
        <f t="shared" si="3"/>
        <v>0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collapsed="1" x14ac:dyDescent="0.25">
      <c r="A92" s="10"/>
      <c r="B92" s="26" t="s">
        <v>8</v>
      </c>
      <c r="C92" s="10"/>
      <c r="D92" s="4">
        <f>SUM(OSRRefD16x_0)</f>
        <v>298270.13999999996</v>
      </c>
      <c r="E92" s="4"/>
      <c r="F92" s="12">
        <f t="shared" ref="F92:F135" si="7">IF(D$12=0,0,D92/D$12)</f>
        <v>0.76720500200861674</v>
      </c>
      <c r="G92" s="4"/>
      <c r="H92" s="4">
        <f>SUM(OSRRefH16x_0)</f>
        <v>421835</v>
      </c>
      <c r="I92" s="4"/>
      <c r="J92" s="12">
        <f t="shared" ref="J92:J135" si="8">IF(H$12=0,0,H92/H$12)</f>
        <v>0.54227825384949624</v>
      </c>
      <c r="K92" s="4"/>
      <c r="L92" s="4">
        <f t="shared" ref="L92:L135" si="9">+D92-H92</f>
        <v>-123564.86000000004</v>
      </c>
      <c r="M92" s="4"/>
      <c r="N92" s="12">
        <f t="shared" ref="N92:N135" si="10">IF(H92=0,0,L92/H92)</f>
        <v>-0.29292225633245239</v>
      </c>
      <c r="O92" s="10"/>
      <c r="P92" s="4">
        <f>SUM(OSRRefP16x_0)</f>
        <v>4131022.7500000009</v>
      </c>
      <c r="Q92" s="4"/>
      <c r="R92" s="12">
        <f t="shared" ref="R92:R135" si="11">IF(P$12=0,0,P92/P$12)</f>
        <v>0.7284791146505436</v>
      </c>
      <c r="S92" s="4"/>
      <c r="T92" s="4">
        <f>SUM(OSRRefT16x_0)</f>
        <v>5749043</v>
      </c>
      <c r="U92" s="4"/>
      <c r="V92" s="12">
        <f t="shared" ref="V92:V135" si="12">IF(T$12=0,0,T92/T$12)</f>
        <v>0.63606809960338151</v>
      </c>
      <c r="W92" s="4"/>
      <c r="X92" s="4">
        <f t="shared" ref="X92:X135" si="13">+P92-T92</f>
        <v>-1618020.2499999991</v>
      </c>
      <c r="Y92" s="4"/>
      <c r="Z92" s="12">
        <f t="shared" ref="Z92:Z135" si="14">IF(T92=0,0,X92/T92)</f>
        <v>-0.28144166776974866</v>
      </c>
    </row>
    <row r="93" spans="1:26" s="24" customFormat="1" hidden="1" outlineLevel="1" x14ac:dyDescent="0.25">
      <c r="A93" s="51"/>
      <c r="B93" s="11" t="str">
        <f>CONCATENATE("          ", "5000", " - ", "PURCHASES @ COST")</f>
        <v xml:space="preserve">          5000 - PURCHASES @ COST</v>
      </c>
      <c r="C93" s="11"/>
      <c r="D93" s="2"/>
      <c r="E93" s="2"/>
      <c r="F93" s="22">
        <f t="shared" si="7"/>
        <v>0</v>
      </c>
      <c r="G93" s="2"/>
      <c r="H93" s="2">
        <v>421835</v>
      </c>
      <c r="I93" s="2"/>
      <c r="J93" s="22">
        <f t="shared" si="8"/>
        <v>0.54227825384949624</v>
      </c>
      <c r="K93" s="2"/>
      <c r="L93" s="2">
        <f t="shared" si="9"/>
        <v>-421835</v>
      </c>
      <c r="M93" s="2"/>
      <c r="N93" s="22">
        <f t="shared" si="10"/>
        <v>-1</v>
      </c>
      <c r="O93" s="11"/>
      <c r="P93" s="2"/>
      <c r="Q93" s="2"/>
      <c r="R93" s="22">
        <f t="shared" si="11"/>
        <v>0</v>
      </c>
      <c r="S93" s="2"/>
      <c r="T93" s="2">
        <v>5749043</v>
      </c>
      <c r="U93" s="2"/>
      <c r="V93" s="22">
        <f t="shared" si="12"/>
        <v>0.63606809960338151</v>
      </c>
      <c r="W93" s="2"/>
      <c r="X93" s="2">
        <f t="shared" si="13"/>
        <v>-5749043</v>
      </c>
      <c r="Y93" s="2"/>
      <c r="Z93" s="22">
        <f t="shared" si="14"/>
        <v>-1</v>
      </c>
    </row>
    <row r="94" spans="1:26" s="24" customFormat="1" hidden="1" outlineLevel="1" x14ac:dyDescent="0.25">
      <c r="A94" s="51"/>
      <c r="B94" s="11" t="str">
        <f>CONCATENATE("          ", "5001", " - ", "PURCHASES @ COST-NEW TEXT")</f>
        <v xml:space="preserve">          5001 - PURCHASES @ COST-NEW TEXT</v>
      </c>
      <c r="C94" s="11"/>
      <c r="D94" s="2">
        <v>-332593.57</v>
      </c>
      <c r="E94" s="2"/>
      <c r="F94" s="22">
        <f t="shared" si="7"/>
        <v>-0.85549110125439665</v>
      </c>
      <c r="G94" s="2"/>
      <c r="H94" s="2"/>
      <c r="I94" s="2"/>
      <c r="J94" s="22">
        <f t="shared" si="8"/>
        <v>0</v>
      </c>
      <c r="K94" s="2"/>
      <c r="L94" s="2">
        <f t="shared" si="9"/>
        <v>-332593.57</v>
      </c>
      <c r="M94" s="2"/>
      <c r="N94" s="22">
        <f t="shared" si="10"/>
        <v>0</v>
      </c>
      <c r="O94" s="11"/>
      <c r="P94" s="2">
        <v>1326415.6399999999</v>
      </c>
      <c r="Q94" s="2"/>
      <c r="R94" s="22">
        <f t="shared" si="11"/>
        <v>0.23390480991319493</v>
      </c>
      <c r="S94" s="2"/>
      <c r="T94" s="2"/>
      <c r="U94" s="2"/>
      <c r="V94" s="22">
        <f t="shared" si="12"/>
        <v>0</v>
      </c>
      <c r="W94" s="2"/>
      <c r="X94" s="2">
        <f t="shared" si="13"/>
        <v>1326415.6399999999</v>
      </c>
      <c r="Y94" s="2"/>
      <c r="Z94" s="22">
        <f t="shared" si="14"/>
        <v>0</v>
      </c>
    </row>
    <row r="95" spans="1:26" s="24" customFormat="1" hidden="1" outlineLevel="1" x14ac:dyDescent="0.25">
      <c r="A95" s="51"/>
      <c r="B95" s="11" t="str">
        <f>CONCATENATE("          ", "5002", " - ", "PURCHASES @ COST-USED TEXT")</f>
        <v xml:space="preserve">          5002 - PURCHASES @ COST-USED TEXT</v>
      </c>
      <c r="C95" s="11"/>
      <c r="D95" s="2">
        <v>121987.94000000002</v>
      </c>
      <c r="E95" s="2"/>
      <c r="F95" s="22">
        <f t="shared" si="7"/>
        <v>0.31377514944247203</v>
      </c>
      <c r="G95" s="2"/>
      <c r="H95" s="2"/>
      <c r="I95" s="2"/>
      <c r="J95" s="22">
        <f t="shared" si="8"/>
        <v>0</v>
      </c>
      <c r="K95" s="2"/>
      <c r="L95" s="2">
        <f t="shared" si="9"/>
        <v>121987.94000000002</v>
      </c>
      <c r="M95" s="2"/>
      <c r="N95" s="22">
        <f t="shared" si="10"/>
        <v>0</v>
      </c>
      <c r="O95" s="11"/>
      <c r="P95" s="2">
        <v>382324.22000000003</v>
      </c>
      <c r="Q95" s="2"/>
      <c r="R95" s="22">
        <f t="shared" si="11"/>
        <v>6.7420400745810363E-2</v>
      </c>
      <c r="S95" s="2"/>
      <c r="T95" s="2"/>
      <c r="U95" s="2"/>
      <c r="V95" s="22">
        <f t="shared" si="12"/>
        <v>0</v>
      </c>
      <c r="W95" s="2"/>
      <c r="X95" s="2">
        <f t="shared" si="13"/>
        <v>382324.22000000003</v>
      </c>
      <c r="Y95" s="2"/>
      <c r="Z95" s="22">
        <f t="shared" si="14"/>
        <v>0</v>
      </c>
    </row>
    <row r="96" spans="1:26" s="24" customFormat="1" hidden="1" outlineLevel="1" x14ac:dyDescent="0.25">
      <c r="A96" s="51"/>
      <c r="B96" s="11" t="str">
        <f>CONCATENATE("          ", "5003", " - ", "PURCHASES @ COST-RENTAL TEXT")</f>
        <v xml:space="preserve">          5003 - PURCHASES @ COST-RENTAL TEXT</v>
      </c>
      <c r="C96" s="11"/>
      <c r="D96" s="2"/>
      <c r="E96" s="2"/>
      <c r="F96" s="22">
        <f t="shared" si="7"/>
        <v>0</v>
      </c>
      <c r="G96" s="2"/>
      <c r="H96" s="2"/>
      <c r="I96" s="2"/>
      <c r="J96" s="22">
        <f t="shared" si="8"/>
        <v>0</v>
      </c>
      <c r="K96" s="2"/>
      <c r="L96" s="2">
        <f t="shared" si="9"/>
        <v>0</v>
      </c>
      <c r="M96" s="2"/>
      <c r="N96" s="22">
        <f t="shared" si="10"/>
        <v>0</v>
      </c>
      <c r="O96" s="11"/>
      <c r="P96" s="2">
        <v>32.520000000000003</v>
      </c>
      <c r="Q96" s="2"/>
      <c r="R96" s="22">
        <f t="shared" si="11"/>
        <v>5.7346914413472243E-6</v>
      </c>
      <c r="S96" s="2"/>
      <c r="T96" s="2"/>
      <c r="U96" s="2"/>
      <c r="V96" s="22">
        <f t="shared" si="12"/>
        <v>0</v>
      </c>
      <c r="W96" s="2"/>
      <c r="X96" s="2">
        <f t="shared" si="13"/>
        <v>32.520000000000003</v>
      </c>
      <c r="Y96" s="2"/>
      <c r="Z96" s="22">
        <f t="shared" si="14"/>
        <v>0</v>
      </c>
    </row>
    <row r="97" spans="1:26" s="24" customFormat="1" hidden="1" outlineLevel="1" x14ac:dyDescent="0.25">
      <c r="A97" s="51"/>
      <c r="B97" s="11" t="str">
        <f>CONCATENATE("          ", "5004", " - ", "PURCHASES @ COST-DIGITAL TEXT")</f>
        <v xml:space="preserve">          5004 - PURCHASES @ COST-DIGITAL TEXT</v>
      </c>
      <c r="C97" s="11"/>
      <c r="D97" s="2">
        <v>3282.02</v>
      </c>
      <c r="E97" s="2"/>
      <c r="F97" s="22">
        <f t="shared" si="7"/>
        <v>8.4419518517419162E-3</v>
      </c>
      <c r="G97" s="2"/>
      <c r="H97" s="2"/>
      <c r="I97" s="2"/>
      <c r="J97" s="22">
        <f t="shared" si="8"/>
        <v>0</v>
      </c>
      <c r="K97" s="2"/>
      <c r="L97" s="2">
        <f t="shared" si="9"/>
        <v>3282.02</v>
      </c>
      <c r="M97" s="2"/>
      <c r="N97" s="22">
        <f t="shared" si="10"/>
        <v>0</v>
      </c>
      <c r="O97" s="11"/>
      <c r="P97" s="2">
        <v>220008.58000000002</v>
      </c>
      <c r="Q97" s="2"/>
      <c r="R97" s="22">
        <f t="shared" si="11"/>
        <v>3.8797088583916235E-2</v>
      </c>
      <c r="S97" s="2"/>
      <c r="T97" s="2"/>
      <c r="U97" s="2"/>
      <c r="V97" s="22">
        <f t="shared" si="12"/>
        <v>0</v>
      </c>
      <c r="W97" s="2"/>
      <c r="X97" s="2">
        <f t="shared" si="13"/>
        <v>220008.58000000002</v>
      </c>
      <c r="Y97" s="2"/>
      <c r="Z97" s="22">
        <f t="shared" si="14"/>
        <v>0</v>
      </c>
    </row>
    <row r="98" spans="1:26" s="24" customFormat="1" hidden="1" outlineLevel="1" x14ac:dyDescent="0.25">
      <c r="A98" s="51"/>
      <c r="B98" s="11" t="str">
        <f>CONCATENATE("          ", "5011", " - ", "PURCHASES @ COST-NO VALUE TEXT")</f>
        <v xml:space="preserve">          5011 - PURCHASES @ COST-NO VALUE TEXT</v>
      </c>
      <c r="C98" s="11"/>
      <c r="D98" s="2"/>
      <c r="E98" s="2"/>
      <c r="F98" s="22">
        <f t="shared" si="7"/>
        <v>0</v>
      </c>
      <c r="G98" s="2"/>
      <c r="H98" s="2"/>
      <c r="I98" s="2"/>
      <c r="J98" s="22">
        <f t="shared" si="8"/>
        <v>0</v>
      </c>
      <c r="K98" s="2"/>
      <c r="L98" s="2">
        <f t="shared" si="9"/>
        <v>0</v>
      </c>
      <c r="M98" s="2"/>
      <c r="N98" s="22">
        <f t="shared" si="10"/>
        <v>0</v>
      </c>
      <c r="O98" s="11"/>
      <c r="P98" s="2">
        <v>67.17</v>
      </c>
      <c r="Q98" s="2"/>
      <c r="R98" s="22">
        <f t="shared" si="11"/>
        <v>1.1844994591491175E-5</v>
      </c>
      <c r="S98" s="2"/>
      <c r="T98" s="2"/>
      <c r="U98" s="2"/>
      <c r="V98" s="22">
        <f t="shared" si="12"/>
        <v>0</v>
      </c>
      <c r="W98" s="2"/>
      <c r="X98" s="2">
        <f t="shared" si="13"/>
        <v>67.17</v>
      </c>
      <c r="Y98" s="2"/>
      <c r="Z98" s="22">
        <f t="shared" si="14"/>
        <v>0</v>
      </c>
    </row>
    <row r="99" spans="1:26" s="24" customFormat="1" hidden="1" outlineLevel="1" x14ac:dyDescent="0.25">
      <c r="A99" s="51"/>
      <c r="B99" s="11" t="str">
        <f>CONCATENATE("          ", "5013", " - ", "PURCHASES @ COST-TRADE BOOKS")</f>
        <v xml:space="preserve">          5013 - PURCHASES @ COST-TRADE BOOKS</v>
      </c>
      <c r="C99" s="11"/>
      <c r="D99" s="2">
        <v>305.11</v>
      </c>
      <c r="E99" s="2"/>
      <c r="F99" s="22">
        <f t="shared" si="7"/>
        <v>7.8479836487436896E-4</v>
      </c>
      <c r="G99" s="2"/>
      <c r="H99" s="2"/>
      <c r="I99" s="2"/>
      <c r="J99" s="22">
        <f t="shared" si="8"/>
        <v>0</v>
      </c>
      <c r="K99" s="2"/>
      <c r="L99" s="2">
        <f t="shared" si="9"/>
        <v>305.11</v>
      </c>
      <c r="M99" s="2"/>
      <c r="N99" s="22">
        <f t="shared" si="10"/>
        <v>0</v>
      </c>
      <c r="O99" s="11"/>
      <c r="P99" s="2">
        <v>5962.09</v>
      </c>
      <c r="Q99" s="2"/>
      <c r="R99" s="22">
        <f t="shared" si="11"/>
        <v>1.0513759684975975E-3</v>
      </c>
      <c r="S99" s="2"/>
      <c r="T99" s="2"/>
      <c r="U99" s="2"/>
      <c r="V99" s="22">
        <f t="shared" si="12"/>
        <v>0</v>
      </c>
      <c r="W99" s="2"/>
      <c r="X99" s="2">
        <f t="shared" si="13"/>
        <v>5962.09</v>
      </c>
      <c r="Y99" s="2"/>
      <c r="Z99" s="22">
        <f t="shared" si="14"/>
        <v>0</v>
      </c>
    </row>
    <row r="100" spans="1:26" s="24" customFormat="1" hidden="1" outlineLevel="1" x14ac:dyDescent="0.25">
      <c r="A100" s="51"/>
      <c r="B100" s="11" t="str">
        <f>CONCATENATE("          ", "5014", " - ", "PURCHASES @ COST-REMAINDERS")</f>
        <v xml:space="preserve">          5014 - PURCHASES @ COST-REMAINDERS</v>
      </c>
      <c r="C100" s="11"/>
      <c r="D100" s="2">
        <v>21.16</v>
      </c>
      <c r="E100" s="2"/>
      <c r="F100" s="22">
        <f t="shared" si="7"/>
        <v>5.4427365214977048E-5</v>
      </c>
      <c r="G100" s="2"/>
      <c r="H100" s="2"/>
      <c r="I100" s="2"/>
      <c r="J100" s="22">
        <f t="shared" si="8"/>
        <v>0</v>
      </c>
      <c r="K100" s="2"/>
      <c r="L100" s="2">
        <f t="shared" si="9"/>
        <v>21.16</v>
      </c>
      <c r="M100" s="2"/>
      <c r="N100" s="22">
        <f t="shared" si="10"/>
        <v>0</v>
      </c>
      <c r="O100" s="11"/>
      <c r="P100" s="2">
        <v>111.57</v>
      </c>
      <c r="Q100" s="2"/>
      <c r="R100" s="22">
        <f t="shared" si="11"/>
        <v>1.9674647112887752E-5</v>
      </c>
      <c r="S100" s="2"/>
      <c r="T100" s="2"/>
      <c r="U100" s="2"/>
      <c r="V100" s="22">
        <f t="shared" si="12"/>
        <v>0</v>
      </c>
      <c r="W100" s="2"/>
      <c r="X100" s="2">
        <f t="shared" si="13"/>
        <v>111.57</v>
      </c>
      <c r="Y100" s="2"/>
      <c r="Z100" s="22">
        <f t="shared" si="14"/>
        <v>0</v>
      </c>
    </row>
    <row r="101" spans="1:26" s="24" customFormat="1" hidden="1" outlineLevel="1" x14ac:dyDescent="0.25">
      <c r="A101" s="51"/>
      <c r="B101" s="11" t="str">
        <f>CONCATENATE("          ", "5018", " - ", "PURCHASES @ COST-STUDY GUIDES")</f>
        <v xml:space="preserve">          5018 - PURCHASES @ COST-STUDY GUIDES</v>
      </c>
      <c r="C101" s="11"/>
      <c r="D101" s="2"/>
      <c r="E101" s="2"/>
      <c r="F101" s="22">
        <f t="shared" si="7"/>
        <v>0</v>
      </c>
      <c r="G101" s="2"/>
      <c r="H101" s="2"/>
      <c r="I101" s="2"/>
      <c r="J101" s="22">
        <f t="shared" si="8"/>
        <v>0</v>
      </c>
      <c r="K101" s="2"/>
      <c r="L101" s="2">
        <f t="shared" si="9"/>
        <v>0</v>
      </c>
      <c r="M101" s="2"/>
      <c r="N101" s="22">
        <f t="shared" si="10"/>
        <v>0</v>
      </c>
      <c r="O101" s="11"/>
      <c r="P101" s="2">
        <v>522.34</v>
      </c>
      <c r="Q101" s="2"/>
      <c r="R101" s="22">
        <f t="shared" si="11"/>
        <v>9.211127698257407E-5</v>
      </c>
      <c r="S101" s="2"/>
      <c r="T101" s="2"/>
      <c r="U101" s="2"/>
      <c r="V101" s="22">
        <f t="shared" si="12"/>
        <v>0</v>
      </c>
      <c r="W101" s="2"/>
      <c r="X101" s="2">
        <f t="shared" si="13"/>
        <v>522.34</v>
      </c>
      <c r="Y101" s="2"/>
      <c r="Z101" s="22">
        <f t="shared" si="14"/>
        <v>0</v>
      </c>
    </row>
    <row r="102" spans="1:26" s="24" customFormat="1" hidden="1" outlineLevel="1" x14ac:dyDescent="0.25">
      <c r="A102" s="51"/>
      <c r="B102" s="11" t="str">
        <f>CONCATENATE("          ", "5025", " - ", "PURCHASES @ COST-TEST FORMS")</f>
        <v xml:space="preserve">          5025 - PURCHASES @ COST-TEST FORMS</v>
      </c>
      <c r="C102" s="11"/>
      <c r="D102" s="2"/>
      <c r="E102" s="2"/>
      <c r="F102" s="22">
        <f t="shared" si="7"/>
        <v>0</v>
      </c>
      <c r="G102" s="2"/>
      <c r="H102" s="2"/>
      <c r="I102" s="2"/>
      <c r="J102" s="22">
        <f t="shared" si="8"/>
        <v>0</v>
      </c>
      <c r="K102" s="2"/>
      <c r="L102" s="2">
        <f t="shared" si="9"/>
        <v>0</v>
      </c>
      <c r="M102" s="2"/>
      <c r="N102" s="22">
        <f t="shared" si="10"/>
        <v>0</v>
      </c>
      <c r="O102" s="11"/>
      <c r="P102" s="2">
        <v>599.29</v>
      </c>
      <c r="Q102" s="2"/>
      <c r="R102" s="22">
        <f t="shared" si="11"/>
        <v>1.0568091125107556E-4</v>
      </c>
      <c r="S102" s="2"/>
      <c r="T102" s="2"/>
      <c r="U102" s="2"/>
      <c r="V102" s="22">
        <f t="shared" si="12"/>
        <v>0</v>
      </c>
      <c r="W102" s="2"/>
      <c r="X102" s="2">
        <f t="shared" si="13"/>
        <v>599.29</v>
      </c>
      <c r="Y102" s="2"/>
      <c r="Z102" s="22">
        <f t="shared" si="14"/>
        <v>0</v>
      </c>
    </row>
    <row r="103" spans="1:26" s="24" customFormat="1" hidden="1" outlineLevel="1" x14ac:dyDescent="0.25">
      <c r="A103" s="51"/>
      <c r="B103" s="11" t="str">
        <f>CONCATENATE("          ", "5026", " - ", "PURCHASES @ COST-WRITING INSTR")</f>
        <v xml:space="preserve">          5026 - PURCHASES @ COST-WRITING INSTR</v>
      </c>
      <c r="C103" s="11"/>
      <c r="D103" s="2"/>
      <c r="E103" s="2"/>
      <c r="F103" s="22">
        <f t="shared" si="7"/>
        <v>0</v>
      </c>
      <c r="G103" s="2"/>
      <c r="H103" s="2"/>
      <c r="I103" s="2"/>
      <c r="J103" s="22">
        <f t="shared" si="8"/>
        <v>0</v>
      </c>
      <c r="K103" s="2"/>
      <c r="L103" s="2">
        <f t="shared" si="9"/>
        <v>0</v>
      </c>
      <c r="M103" s="2"/>
      <c r="N103" s="22">
        <f t="shared" si="10"/>
        <v>0</v>
      </c>
      <c r="O103" s="11"/>
      <c r="P103" s="2">
        <v>374.91</v>
      </c>
      <c r="Q103" s="2"/>
      <c r="R103" s="22">
        <f t="shared" si="11"/>
        <v>6.6112951053981791E-5</v>
      </c>
      <c r="S103" s="2"/>
      <c r="T103" s="2"/>
      <c r="U103" s="2"/>
      <c r="V103" s="22">
        <f t="shared" si="12"/>
        <v>0</v>
      </c>
      <c r="W103" s="2"/>
      <c r="X103" s="2">
        <f t="shared" si="13"/>
        <v>374.91</v>
      </c>
      <c r="Y103" s="2"/>
      <c r="Z103" s="22">
        <f t="shared" si="14"/>
        <v>0</v>
      </c>
    </row>
    <row r="104" spans="1:26" s="24" customFormat="1" hidden="1" outlineLevel="1" x14ac:dyDescent="0.25">
      <c r="A104" s="51"/>
      <c r="B104" s="11" t="str">
        <f>CONCATENATE("          ", "5027", " - ", "PURCHASES @ COST-SCHOOL SUPPLI")</f>
        <v xml:space="preserve">          5027 - PURCHASES @ COST-SCHOOL SUPPLI</v>
      </c>
      <c r="C104" s="11"/>
      <c r="D104" s="2"/>
      <c r="E104" s="2"/>
      <c r="F104" s="22">
        <f t="shared" si="7"/>
        <v>0</v>
      </c>
      <c r="G104" s="2"/>
      <c r="H104" s="2"/>
      <c r="I104" s="2"/>
      <c r="J104" s="22">
        <f t="shared" si="8"/>
        <v>0</v>
      </c>
      <c r="K104" s="2"/>
      <c r="L104" s="2">
        <f t="shared" si="9"/>
        <v>0</v>
      </c>
      <c r="M104" s="2"/>
      <c r="N104" s="22">
        <f t="shared" si="10"/>
        <v>0</v>
      </c>
      <c r="O104" s="11"/>
      <c r="P104" s="2">
        <v>19071.350000000002</v>
      </c>
      <c r="Q104" s="2"/>
      <c r="R104" s="22">
        <f t="shared" si="11"/>
        <v>3.3631090904039786E-3</v>
      </c>
      <c r="S104" s="2"/>
      <c r="T104" s="2"/>
      <c r="U104" s="2"/>
      <c r="V104" s="22">
        <f t="shared" si="12"/>
        <v>0</v>
      </c>
      <c r="W104" s="2"/>
      <c r="X104" s="2">
        <f t="shared" si="13"/>
        <v>19071.350000000002</v>
      </c>
      <c r="Y104" s="2"/>
      <c r="Z104" s="22">
        <f t="shared" si="14"/>
        <v>0</v>
      </c>
    </row>
    <row r="105" spans="1:26" s="24" customFormat="1" hidden="1" outlineLevel="1" x14ac:dyDescent="0.25">
      <c r="A105" s="51"/>
      <c r="B105" s="11" t="str">
        <f>CONCATENATE("          ", "5028", " - ", "PURCHASES @ COST-ART/TECH")</f>
        <v xml:space="preserve">          5028 - PURCHASES @ COST-ART/TECH</v>
      </c>
      <c r="C105" s="11"/>
      <c r="D105" s="2">
        <v>833.13</v>
      </c>
      <c r="E105" s="2"/>
      <c r="F105" s="22">
        <f t="shared" si="7"/>
        <v>2.1429617571622791E-3</v>
      </c>
      <c r="G105" s="2"/>
      <c r="H105" s="2"/>
      <c r="I105" s="2"/>
      <c r="J105" s="22">
        <f t="shared" si="8"/>
        <v>0</v>
      </c>
      <c r="K105" s="2"/>
      <c r="L105" s="2">
        <f t="shared" si="9"/>
        <v>833.13</v>
      </c>
      <c r="M105" s="2"/>
      <c r="N105" s="22">
        <f t="shared" si="10"/>
        <v>0</v>
      </c>
      <c r="O105" s="11"/>
      <c r="P105" s="2">
        <v>42191.58</v>
      </c>
      <c r="Q105" s="2"/>
      <c r="R105" s="22">
        <f t="shared" si="11"/>
        <v>7.440211953349222E-3</v>
      </c>
      <c r="S105" s="2"/>
      <c r="T105" s="2"/>
      <c r="U105" s="2"/>
      <c r="V105" s="22">
        <f t="shared" si="12"/>
        <v>0</v>
      </c>
      <c r="W105" s="2"/>
      <c r="X105" s="2">
        <f t="shared" si="13"/>
        <v>42191.58</v>
      </c>
      <c r="Y105" s="2"/>
      <c r="Z105" s="22">
        <f t="shared" si="14"/>
        <v>0</v>
      </c>
    </row>
    <row r="106" spans="1:26" s="24" customFormat="1" hidden="1" outlineLevel="1" x14ac:dyDescent="0.25">
      <c r="A106" s="51"/>
      <c r="B106" s="11" t="str">
        <f>CONCATENATE("          ", "5031", " - ", "PURCHASES @ COST-FOOD")</f>
        <v xml:space="preserve">          5031 - PURCHASES @ COST-FOOD</v>
      </c>
      <c r="C106" s="11"/>
      <c r="D106" s="2">
        <v>271.45999999999998</v>
      </c>
      <c r="E106" s="2"/>
      <c r="F106" s="22">
        <f t="shared" si="7"/>
        <v>6.9824444996491818E-4</v>
      </c>
      <c r="G106" s="2"/>
      <c r="H106" s="2"/>
      <c r="I106" s="2"/>
      <c r="J106" s="22">
        <f t="shared" si="8"/>
        <v>0</v>
      </c>
      <c r="K106" s="2"/>
      <c r="L106" s="2">
        <f t="shared" si="9"/>
        <v>271.45999999999998</v>
      </c>
      <c r="M106" s="2"/>
      <c r="N106" s="22">
        <f t="shared" si="10"/>
        <v>0</v>
      </c>
      <c r="O106" s="11"/>
      <c r="P106" s="2">
        <v>7785.72</v>
      </c>
      <c r="Q106" s="2"/>
      <c r="R106" s="22">
        <f t="shared" si="11"/>
        <v>1.3729613114614363E-3</v>
      </c>
      <c r="S106" s="2"/>
      <c r="T106" s="2"/>
      <c r="U106" s="2"/>
      <c r="V106" s="22">
        <f t="shared" si="12"/>
        <v>0</v>
      </c>
      <c r="W106" s="2"/>
      <c r="X106" s="2">
        <f t="shared" si="13"/>
        <v>7785.72</v>
      </c>
      <c r="Y106" s="2"/>
      <c r="Z106" s="22">
        <f t="shared" si="14"/>
        <v>0</v>
      </c>
    </row>
    <row r="107" spans="1:26" s="24" customFormat="1" hidden="1" outlineLevel="1" x14ac:dyDescent="0.25">
      <c r="A107" s="51"/>
      <c r="B107" s="11" t="str">
        <f>CONCATENATE("          ", "5040", " - ", "PURCHASES @ COST-LOGO CLOTHING")</f>
        <v xml:space="preserve">          5040 - PURCHASES @ COST-LOGO CLOTHING</v>
      </c>
      <c r="C107" s="11"/>
      <c r="D107" s="2">
        <v>26599.9</v>
      </c>
      <c r="E107" s="2"/>
      <c r="F107" s="22">
        <f t="shared" si="7"/>
        <v>6.8419776558689416E-2</v>
      </c>
      <c r="G107" s="2"/>
      <c r="H107" s="2"/>
      <c r="I107" s="2"/>
      <c r="J107" s="22">
        <f t="shared" si="8"/>
        <v>0</v>
      </c>
      <c r="K107" s="2"/>
      <c r="L107" s="2">
        <f t="shared" si="9"/>
        <v>26599.9</v>
      </c>
      <c r="M107" s="2"/>
      <c r="N107" s="22">
        <f t="shared" si="10"/>
        <v>0</v>
      </c>
      <c r="O107" s="11"/>
      <c r="P107" s="2">
        <v>193971.09</v>
      </c>
      <c r="Q107" s="2"/>
      <c r="R107" s="22">
        <f t="shared" si="11"/>
        <v>3.4205545808480689E-2</v>
      </c>
      <c r="S107" s="2"/>
      <c r="T107" s="2"/>
      <c r="U107" s="2"/>
      <c r="V107" s="22">
        <f t="shared" si="12"/>
        <v>0</v>
      </c>
      <c r="W107" s="2"/>
      <c r="X107" s="2">
        <f t="shared" si="13"/>
        <v>193971.09</v>
      </c>
      <c r="Y107" s="2"/>
      <c r="Z107" s="22">
        <f t="shared" si="14"/>
        <v>0</v>
      </c>
    </row>
    <row r="108" spans="1:26" s="24" customFormat="1" hidden="1" outlineLevel="1" x14ac:dyDescent="0.25">
      <c r="A108" s="51"/>
      <c r="B108" s="11" t="str">
        <f>CONCATENATE("          ", "5041", " - ", "PURCHASES @ COST-LOGO GIFTS")</f>
        <v xml:space="preserve">          5041 - PURCHASES @ COST-LOGO GIFTS</v>
      </c>
      <c r="C108" s="11"/>
      <c r="D108" s="2">
        <v>26592.809999999998</v>
      </c>
      <c r="E108" s="2"/>
      <c r="F108" s="22">
        <f t="shared" si="7"/>
        <v>6.8401539790287971E-2</v>
      </c>
      <c r="G108" s="2"/>
      <c r="H108" s="2"/>
      <c r="I108" s="2"/>
      <c r="J108" s="22">
        <f t="shared" si="8"/>
        <v>0</v>
      </c>
      <c r="K108" s="2"/>
      <c r="L108" s="2">
        <f t="shared" si="9"/>
        <v>26592.809999999998</v>
      </c>
      <c r="M108" s="2"/>
      <c r="N108" s="22">
        <f t="shared" si="10"/>
        <v>0</v>
      </c>
      <c r="O108" s="11"/>
      <c r="P108" s="2">
        <v>67563.81</v>
      </c>
      <c r="Q108" s="2"/>
      <c r="R108" s="22">
        <f t="shared" si="11"/>
        <v>1.1914440435172508E-2</v>
      </c>
      <c r="S108" s="2"/>
      <c r="T108" s="2"/>
      <c r="U108" s="2"/>
      <c r="V108" s="22">
        <f t="shared" si="12"/>
        <v>0</v>
      </c>
      <c r="W108" s="2"/>
      <c r="X108" s="2">
        <f t="shared" si="13"/>
        <v>67563.81</v>
      </c>
      <c r="Y108" s="2"/>
      <c r="Z108" s="22">
        <f t="shared" si="14"/>
        <v>0</v>
      </c>
    </row>
    <row r="109" spans="1:26" s="24" customFormat="1" hidden="1" outlineLevel="1" x14ac:dyDescent="0.25">
      <c r="A109" s="51"/>
      <c r="B109" s="11" t="str">
        <f>CONCATENATE("          ", "5042", " - ", "PURCHASES @ COST-EVERYDAY GIFT")</f>
        <v xml:space="preserve">          5042 - PURCHASES @ COST-EVERYDAY GIFT</v>
      </c>
      <c r="C109" s="11"/>
      <c r="D109" s="2">
        <v>1196.2</v>
      </c>
      <c r="E109" s="2"/>
      <c r="F109" s="22">
        <f t="shared" si="7"/>
        <v>3.0768437745820202E-3</v>
      </c>
      <c r="G109" s="2"/>
      <c r="H109" s="2"/>
      <c r="I109" s="2"/>
      <c r="J109" s="22">
        <f t="shared" si="8"/>
        <v>0</v>
      </c>
      <c r="K109" s="2"/>
      <c r="L109" s="2">
        <f t="shared" si="9"/>
        <v>1196.2</v>
      </c>
      <c r="M109" s="2"/>
      <c r="N109" s="22">
        <f t="shared" si="10"/>
        <v>0</v>
      </c>
      <c r="O109" s="11"/>
      <c r="P109" s="2">
        <v>19018.18</v>
      </c>
      <c r="Q109" s="2"/>
      <c r="R109" s="22">
        <f t="shared" si="11"/>
        <v>3.3537329051660804E-3</v>
      </c>
      <c r="S109" s="2"/>
      <c r="T109" s="2"/>
      <c r="U109" s="2"/>
      <c r="V109" s="22">
        <f t="shared" si="12"/>
        <v>0</v>
      </c>
      <c r="W109" s="2"/>
      <c r="X109" s="2">
        <f t="shared" si="13"/>
        <v>19018.18</v>
      </c>
      <c r="Y109" s="2"/>
      <c r="Z109" s="22">
        <f t="shared" si="14"/>
        <v>0</v>
      </c>
    </row>
    <row r="110" spans="1:26" s="24" customFormat="1" hidden="1" outlineLevel="1" x14ac:dyDescent="0.25">
      <c r="A110" s="51"/>
      <c r="B110" s="11" t="str">
        <f>CONCATENATE("          ", "5043", " - ", "PURCHASES @ COST-CARDS")</f>
        <v xml:space="preserve">          5043 - PURCHASES @ COST-CARDS</v>
      </c>
      <c r="C110" s="11"/>
      <c r="D110" s="2"/>
      <c r="E110" s="2"/>
      <c r="F110" s="22">
        <f t="shared" si="7"/>
        <v>0</v>
      </c>
      <c r="G110" s="2"/>
      <c r="H110" s="2"/>
      <c r="I110" s="2"/>
      <c r="J110" s="22">
        <f t="shared" si="8"/>
        <v>0</v>
      </c>
      <c r="K110" s="2"/>
      <c r="L110" s="2">
        <f t="shared" si="9"/>
        <v>0</v>
      </c>
      <c r="M110" s="2"/>
      <c r="N110" s="22">
        <f t="shared" si="10"/>
        <v>0</v>
      </c>
      <c r="O110" s="11"/>
      <c r="P110" s="2">
        <v>55364.33</v>
      </c>
      <c r="Q110" s="2"/>
      <c r="R110" s="22">
        <f t="shared" si="11"/>
        <v>9.7631411256741494E-3</v>
      </c>
      <c r="S110" s="2"/>
      <c r="T110" s="2"/>
      <c r="U110" s="2"/>
      <c r="V110" s="22">
        <f t="shared" si="12"/>
        <v>0</v>
      </c>
      <c r="W110" s="2"/>
      <c r="X110" s="2">
        <f t="shared" si="13"/>
        <v>55364.33</v>
      </c>
      <c r="Y110" s="2"/>
      <c r="Z110" s="22">
        <f t="shared" si="14"/>
        <v>0</v>
      </c>
    </row>
    <row r="111" spans="1:26" s="24" customFormat="1" hidden="1" outlineLevel="1" x14ac:dyDescent="0.25">
      <c r="A111" s="51"/>
      <c r="B111" s="11" t="str">
        <f>CONCATENATE("          ", "5044", " - ", "PURCHASES @ COST-ACCESSORIES")</f>
        <v xml:space="preserve">          5044 - PURCHASES @ COST-ACCESSORIES</v>
      </c>
      <c r="C111" s="11"/>
      <c r="D111" s="2"/>
      <c r="E111" s="2"/>
      <c r="F111" s="22">
        <f t="shared" si="7"/>
        <v>0</v>
      </c>
      <c r="G111" s="2"/>
      <c r="H111" s="2"/>
      <c r="I111" s="2"/>
      <c r="J111" s="22">
        <f t="shared" si="8"/>
        <v>0</v>
      </c>
      <c r="K111" s="2"/>
      <c r="L111" s="2">
        <f t="shared" si="9"/>
        <v>0</v>
      </c>
      <c r="M111" s="2"/>
      <c r="N111" s="22">
        <f t="shared" si="10"/>
        <v>0</v>
      </c>
      <c r="O111" s="11"/>
      <c r="P111" s="2">
        <v>1064.83</v>
      </c>
      <c r="Q111" s="2"/>
      <c r="R111" s="22">
        <f t="shared" si="11"/>
        <v>1.8777587599907024E-4</v>
      </c>
      <c r="S111" s="2"/>
      <c r="T111" s="2"/>
      <c r="U111" s="2"/>
      <c r="V111" s="22">
        <f t="shared" si="12"/>
        <v>0</v>
      </c>
      <c r="W111" s="2"/>
      <c r="X111" s="2">
        <f t="shared" si="13"/>
        <v>1064.83</v>
      </c>
      <c r="Y111" s="2"/>
      <c r="Z111" s="22">
        <f t="shared" si="14"/>
        <v>0</v>
      </c>
    </row>
    <row r="112" spans="1:26" s="24" customFormat="1" hidden="1" outlineLevel="1" x14ac:dyDescent="0.25">
      <c r="A112" s="51"/>
      <c r="B112" s="11" t="str">
        <f>CONCATENATE("          ", "5045", " - ", "PURCHASES @ COST-SPECIAL ORDER")</f>
        <v xml:space="preserve">          5045 - PURCHASES @ COST-SPECIAL ORDER</v>
      </c>
      <c r="C112" s="11"/>
      <c r="D112" s="2">
        <v>1909.13</v>
      </c>
      <c r="E112" s="2"/>
      <c r="F112" s="22">
        <f t="shared" si="7"/>
        <v>4.9106292888879549E-3</v>
      </c>
      <c r="G112" s="2"/>
      <c r="H112" s="2"/>
      <c r="I112" s="2"/>
      <c r="J112" s="22">
        <f t="shared" si="8"/>
        <v>0</v>
      </c>
      <c r="K112" s="2"/>
      <c r="L112" s="2">
        <f t="shared" si="9"/>
        <v>1909.13</v>
      </c>
      <c r="M112" s="2"/>
      <c r="N112" s="22">
        <f t="shared" si="10"/>
        <v>0</v>
      </c>
      <c r="O112" s="11"/>
      <c r="P112" s="2">
        <v>95373.51</v>
      </c>
      <c r="Q112" s="2"/>
      <c r="R112" s="22">
        <f t="shared" si="11"/>
        <v>1.6818500969503193E-2</v>
      </c>
      <c r="S112" s="2"/>
      <c r="T112" s="2"/>
      <c r="U112" s="2"/>
      <c r="V112" s="22">
        <f t="shared" si="12"/>
        <v>0</v>
      </c>
      <c r="W112" s="2"/>
      <c r="X112" s="2">
        <f t="shared" si="13"/>
        <v>95373.51</v>
      </c>
      <c r="Y112" s="2"/>
      <c r="Z112" s="22">
        <f t="shared" si="14"/>
        <v>0</v>
      </c>
    </row>
    <row r="113" spans="1:26" s="24" customFormat="1" hidden="1" outlineLevel="1" x14ac:dyDescent="0.25">
      <c r="A113" s="51"/>
      <c r="B113" s="11" t="str">
        <f>CONCATENATE("          ", "5081", " - ", "PURCHASES @ COST-ELECTRONICS")</f>
        <v xml:space="preserve">          5081 - PURCHASES @ COST-ELECTRONICS</v>
      </c>
      <c r="C113" s="11"/>
      <c r="D113" s="2">
        <v>6584.13</v>
      </c>
      <c r="E113" s="2"/>
      <c r="F113" s="22">
        <f t="shared" si="7"/>
        <v>1.6935578834257413E-2</v>
      </c>
      <c r="G113" s="2"/>
      <c r="H113" s="2"/>
      <c r="I113" s="2"/>
      <c r="J113" s="22">
        <f t="shared" si="8"/>
        <v>0</v>
      </c>
      <c r="K113" s="2"/>
      <c r="L113" s="2">
        <f t="shared" si="9"/>
        <v>6584.13</v>
      </c>
      <c r="M113" s="2"/>
      <c r="N113" s="22">
        <f t="shared" si="10"/>
        <v>0</v>
      </c>
      <c r="O113" s="11"/>
      <c r="P113" s="2">
        <v>32157.900000000005</v>
      </c>
      <c r="Q113" s="2"/>
      <c r="R113" s="22">
        <f t="shared" si="11"/>
        <v>5.670837450851781E-3</v>
      </c>
      <c r="S113" s="2"/>
      <c r="T113" s="2"/>
      <c r="U113" s="2"/>
      <c r="V113" s="22">
        <f t="shared" si="12"/>
        <v>0</v>
      </c>
      <c r="W113" s="2"/>
      <c r="X113" s="2">
        <f t="shared" si="13"/>
        <v>32157.900000000005</v>
      </c>
      <c r="Y113" s="2"/>
      <c r="Z113" s="22">
        <f t="shared" si="14"/>
        <v>0</v>
      </c>
    </row>
    <row r="114" spans="1:26" s="24" customFormat="1" hidden="1" outlineLevel="1" x14ac:dyDescent="0.25">
      <c r="A114" s="51"/>
      <c r="B114" s="11" t="str">
        <f>CONCATENATE("          ", "5082", " - ", "PURCHASES @ COST-COMPUTER HARD")</f>
        <v xml:space="preserve">          5082 - PURCHASES @ COST-COMPUTER HARD</v>
      </c>
      <c r="C114" s="11"/>
      <c r="D114" s="2">
        <v>184376.31</v>
      </c>
      <c r="E114" s="2"/>
      <c r="F114" s="22">
        <f t="shared" si="7"/>
        <v>0.47424937435537923</v>
      </c>
      <c r="G114" s="2"/>
      <c r="H114" s="2"/>
      <c r="I114" s="2"/>
      <c r="J114" s="22">
        <f t="shared" si="8"/>
        <v>0</v>
      </c>
      <c r="K114" s="2"/>
      <c r="L114" s="2">
        <f t="shared" si="9"/>
        <v>184376.31</v>
      </c>
      <c r="M114" s="2"/>
      <c r="N114" s="22">
        <f t="shared" si="10"/>
        <v>0</v>
      </c>
      <c r="O114" s="11"/>
      <c r="P114" s="2">
        <v>1263577.8400000001</v>
      </c>
      <c r="Q114" s="2"/>
      <c r="R114" s="22">
        <f t="shared" si="11"/>
        <v>0.22282377074182078</v>
      </c>
      <c r="S114" s="2"/>
      <c r="T114" s="2"/>
      <c r="U114" s="2"/>
      <c r="V114" s="22">
        <f t="shared" si="12"/>
        <v>0</v>
      </c>
      <c r="W114" s="2"/>
      <c r="X114" s="2">
        <f t="shared" si="13"/>
        <v>1263577.8400000001</v>
      </c>
      <c r="Y114" s="2"/>
      <c r="Z114" s="22">
        <f t="shared" si="14"/>
        <v>0</v>
      </c>
    </row>
    <row r="115" spans="1:26" s="24" customFormat="1" hidden="1" outlineLevel="1" x14ac:dyDescent="0.25">
      <c r="A115" s="51"/>
      <c r="B115" s="11" t="str">
        <f>CONCATENATE("          ", "5083", " - ", "PURCHASES @ COST-COMPUTER EQUI")</f>
        <v xml:space="preserve">          5083 - PURCHASES @ COST-COMPUTER EQUI</v>
      </c>
      <c r="C115" s="11"/>
      <c r="D115" s="2">
        <v>8631.6</v>
      </c>
      <c r="E115" s="2"/>
      <c r="F115" s="22">
        <f t="shared" si="7"/>
        <v>2.2202043742419464E-2</v>
      </c>
      <c r="G115" s="2"/>
      <c r="H115" s="2"/>
      <c r="I115" s="2"/>
      <c r="J115" s="22">
        <f t="shared" si="8"/>
        <v>0</v>
      </c>
      <c r="K115" s="2"/>
      <c r="L115" s="2">
        <f t="shared" si="9"/>
        <v>8631.6</v>
      </c>
      <c r="M115" s="2"/>
      <c r="N115" s="22">
        <f t="shared" si="10"/>
        <v>0</v>
      </c>
      <c r="O115" s="11"/>
      <c r="P115" s="2">
        <v>99188.26999999999</v>
      </c>
      <c r="Q115" s="2"/>
      <c r="R115" s="22">
        <f t="shared" si="11"/>
        <v>1.7491209195911364E-2</v>
      </c>
      <c r="S115" s="2"/>
      <c r="T115" s="2"/>
      <c r="U115" s="2"/>
      <c r="V115" s="22">
        <f t="shared" si="12"/>
        <v>0</v>
      </c>
      <c r="W115" s="2"/>
      <c r="X115" s="2">
        <f t="shared" si="13"/>
        <v>99188.26999999999</v>
      </c>
      <c r="Y115" s="2"/>
      <c r="Z115" s="22">
        <f t="shared" si="14"/>
        <v>0</v>
      </c>
    </row>
    <row r="116" spans="1:26" s="24" customFormat="1" hidden="1" outlineLevel="1" x14ac:dyDescent="0.25">
      <c r="A116" s="51"/>
      <c r="B116" s="11" t="str">
        <f>CONCATENATE("          ", "5085", " - ", "PURCHASES @ COST-SOFTWARE")</f>
        <v xml:space="preserve">          5085 - PURCHASES @ COST-SOFTWARE</v>
      </c>
      <c r="C116" s="11"/>
      <c r="D116" s="2">
        <v>1399.23</v>
      </c>
      <c r="E116" s="2"/>
      <c r="F116" s="22">
        <f t="shared" si="7"/>
        <v>3.5990738293833805E-3</v>
      </c>
      <c r="G116" s="2"/>
      <c r="H116" s="2"/>
      <c r="I116" s="2"/>
      <c r="J116" s="22">
        <f t="shared" si="8"/>
        <v>0</v>
      </c>
      <c r="K116" s="2"/>
      <c r="L116" s="2">
        <f t="shared" si="9"/>
        <v>1399.23</v>
      </c>
      <c r="M116" s="2"/>
      <c r="N116" s="22">
        <f t="shared" si="10"/>
        <v>0</v>
      </c>
      <c r="O116" s="11"/>
      <c r="P116" s="2">
        <v>30145.449999999997</v>
      </c>
      <c r="Q116" s="2"/>
      <c r="R116" s="22">
        <f t="shared" si="11"/>
        <v>5.3159549234489739E-3</v>
      </c>
      <c r="S116" s="2"/>
      <c r="T116" s="2"/>
      <c r="U116" s="2"/>
      <c r="V116" s="22">
        <f t="shared" si="12"/>
        <v>0</v>
      </c>
      <c r="W116" s="2"/>
      <c r="X116" s="2">
        <f t="shared" si="13"/>
        <v>30145.449999999997</v>
      </c>
      <c r="Y116" s="2"/>
      <c r="Z116" s="22">
        <f t="shared" si="14"/>
        <v>0</v>
      </c>
    </row>
    <row r="117" spans="1:26" s="24" customFormat="1" hidden="1" outlineLevel="1" x14ac:dyDescent="0.25">
      <c r="A117" s="51"/>
      <c r="B117" s="11" t="str">
        <f>CONCATENATE("          ", "5086", " - ", "PURCHASES @ COST-COMPUTER SUPP")</f>
        <v xml:space="preserve">          5086 - PURCHASES @ COST-COMPUTER SUPP</v>
      </c>
      <c r="C117" s="11"/>
      <c r="D117" s="2">
        <v>398.64</v>
      </c>
      <c r="E117" s="2"/>
      <c r="F117" s="22">
        <f t="shared" si="7"/>
        <v>1.025374521233386E-3</v>
      </c>
      <c r="G117" s="2"/>
      <c r="H117" s="2"/>
      <c r="I117" s="2"/>
      <c r="J117" s="22">
        <f t="shared" si="8"/>
        <v>0</v>
      </c>
      <c r="K117" s="2"/>
      <c r="L117" s="2">
        <f t="shared" si="9"/>
        <v>398.64</v>
      </c>
      <c r="M117" s="2"/>
      <c r="N117" s="22">
        <f t="shared" si="10"/>
        <v>0</v>
      </c>
      <c r="O117" s="11"/>
      <c r="P117" s="2">
        <v>23138.489999999998</v>
      </c>
      <c r="Q117" s="2"/>
      <c r="R117" s="22">
        <f t="shared" si="11"/>
        <v>4.0803228957164298E-3</v>
      </c>
      <c r="S117" s="2"/>
      <c r="T117" s="2"/>
      <c r="U117" s="2"/>
      <c r="V117" s="22">
        <f t="shared" si="12"/>
        <v>0</v>
      </c>
      <c r="W117" s="2"/>
      <c r="X117" s="2">
        <f t="shared" si="13"/>
        <v>23138.489999999998</v>
      </c>
      <c r="Y117" s="2"/>
      <c r="Z117" s="22">
        <f t="shared" si="14"/>
        <v>0</v>
      </c>
    </row>
    <row r="118" spans="1:26" s="24" customFormat="1" hidden="1" outlineLevel="1" x14ac:dyDescent="0.25">
      <c r="A118" s="51"/>
      <c r="B118" s="11" t="str">
        <f>CONCATENATE("          ", "5200", " - ", "PURCHASES OFFSET")</f>
        <v xml:space="preserve">          5200 - PURCHASES OFFSET</v>
      </c>
      <c r="C118" s="11"/>
      <c r="D118" s="2">
        <v>-46641.740000000005</v>
      </c>
      <c r="E118" s="2"/>
      <c r="F118" s="22">
        <f t="shared" si="7"/>
        <v>-0.11997103106058619</v>
      </c>
      <c r="G118" s="2"/>
      <c r="H118" s="2"/>
      <c r="I118" s="2"/>
      <c r="J118" s="22">
        <f t="shared" si="8"/>
        <v>0</v>
      </c>
      <c r="K118" s="2"/>
      <c r="L118" s="2">
        <f t="shared" si="9"/>
        <v>-46641.740000000005</v>
      </c>
      <c r="M118" s="2"/>
      <c r="N118" s="22">
        <f t="shared" si="10"/>
        <v>0</v>
      </c>
      <c r="O118" s="11"/>
      <c r="P118" s="2">
        <v>-3425688.92</v>
      </c>
      <c r="Q118" s="2"/>
      <c r="R118" s="22">
        <f t="shared" si="11"/>
        <v>-0.60409806058554771</v>
      </c>
      <c r="S118" s="2"/>
      <c r="T118" s="2"/>
      <c r="U118" s="2"/>
      <c r="V118" s="22">
        <f t="shared" si="12"/>
        <v>0</v>
      </c>
      <c r="W118" s="2"/>
      <c r="X118" s="2">
        <f t="shared" si="13"/>
        <v>-3425688.92</v>
      </c>
      <c r="Y118" s="2"/>
      <c r="Z118" s="22">
        <f t="shared" si="14"/>
        <v>0</v>
      </c>
    </row>
    <row r="119" spans="1:26" s="24" customFormat="1" hidden="1" outlineLevel="1" x14ac:dyDescent="0.25">
      <c r="A119" s="51"/>
      <c r="B119" s="11" t="str">
        <f>CONCATENATE("          ", "5300", " - ", "COG$ OFFSET")</f>
        <v xml:space="preserve">          5300 - COG$ OFFSET</v>
      </c>
      <c r="C119" s="11"/>
      <c r="D119" s="2">
        <v>286283</v>
      </c>
      <c r="E119" s="2"/>
      <c r="F119" s="22">
        <f t="shared" si="7"/>
        <v>0.73637189961433236</v>
      </c>
      <c r="G119" s="2"/>
      <c r="H119" s="2"/>
      <c r="I119" s="2"/>
      <c r="J119" s="22">
        <f t="shared" si="8"/>
        <v>0</v>
      </c>
      <c r="K119" s="2"/>
      <c r="L119" s="2">
        <f t="shared" si="9"/>
        <v>286283</v>
      </c>
      <c r="M119" s="2"/>
      <c r="N119" s="22">
        <f t="shared" si="10"/>
        <v>0</v>
      </c>
      <c r="O119" s="11"/>
      <c r="P119" s="2">
        <v>3584463</v>
      </c>
      <c r="Q119" s="2"/>
      <c r="R119" s="22">
        <f t="shared" si="11"/>
        <v>0.63209684157213386</v>
      </c>
      <c r="S119" s="2"/>
      <c r="T119" s="2"/>
      <c r="U119" s="2"/>
      <c r="V119" s="22">
        <f t="shared" si="12"/>
        <v>0</v>
      </c>
      <c r="W119" s="2"/>
      <c r="X119" s="2">
        <f t="shared" si="13"/>
        <v>3584463</v>
      </c>
      <c r="Y119" s="2"/>
      <c r="Z119" s="22">
        <f t="shared" si="14"/>
        <v>0</v>
      </c>
    </row>
    <row r="120" spans="1:26" s="24" customFormat="1" hidden="1" outlineLevel="1" x14ac:dyDescent="0.25">
      <c r="A120" s="51"/>
      <c r="B120" s="11" t="str">
        <f>CONCATENATE("          ", "5501", " - ", "FREIGHT-IN-NEW TEXT")</f>
        <v xml:space="preserve">          5501 - FREIGHT-IN-NEW TEXT</v>
      </c>
      <c r="C120" s="11"/>
      <c r="D120" s="2">
        <v>4638.13</v>
      </c>
      <c r="E120" s="2"/>
      <c r="F120" s="22">
        <f t="shared" si="7"/>
        <v>1.1930113205318596E-2</v>
      </c>
      <c r="G120" s="2"/>
      <c r="H120" s="2"/>
      <c r="I120" s="2"/>
      <c r="J120" s="22">
        <f t="shared" si="8"/>
        <v>0</v>
      </c>
      <c r="K120" s="2"/>
      <c r="L120" s="2">
        <f t="shared" si="9"/>
        <v>4638.13</v>
      </c>
      <c r="M120" s="2"/>
      <c r="N120" s="22">
        <f t="shared" si="10"/>
        <v>0</v>
      </c>
      <c r="O120" s="11"/>
      <c r="P120" s="2">
        <v>49256.92</v>
      </c>
      <c r="Q120" s="2"/>
      <c r="R120" s="22">
        <f t="shared" si="11"/>
        <v>8.6861389160862515E-3</v>
      </c>
      <c r="S120" s="2"/>
      <c r="T120" s="2"/>
      <c r="U120" s="2"/>
      <c r="V120" s="22">
        <f t="shared" si="12"/>
        <v>0</v>
      </c>
      <c r="W120" s="2"/>
      <c r="X120" s="2">
        <f t="shared" si="13"/>
        <v>49256.92</v>
      </c>
      <c r="Y120" s="2"/>
      <c r="Z120" s="22">
        <f t="shared" si="14"/>
        <v>0</v>
      </c>
    </row>
    <row r="121" spans="1:26" s="24" customFormat="1" hidden="1" outlineLevel="1" x14ac:dyDescent="0.25">
      <c r="A121" s="51"/>
      <c r="B121" s="11" t="str">
        <f>CONCATENATE("          ", "5502", " - ", "FREIGHT-IN-USED TEXT")</f>
        <v xml:space="preserve">          5502 - FREIGHT-IN-USED TEXT</v>
      </c>
      <c r="C121" s="11"/>
      <c r="D121" s="2">
        <v>1484.45</v>
      </c>
      <c r="E121" s="2"/>
      <c r="F121" s="22">
        <f t="shared" si="7"/>
        <v>3.818275155641431E-3</v>
      </c>
      <c r="G121" s="2"/>
      <c r="H121" s="2"/>
      <c r="I121" s="2"/>
      <c r="J121" s="22">
        <f t="shared" si="8"/>
        <v>0</v>
      </c>
      <c r="K121" s="2"/>
      <c r="L121" s="2">
        <f t="shared" si="9"/>
        <v>1484.45</v>
      </c>
      <c r="M121" s="2"/>
      <c r="N121" s="22">
        <f t="shared" si="10"/>
        <v>0</v>
      </c>
      <c r="O121" s="11"/>
      <c r="P121" s="2">
        <v>17136.759999999998</v>
      </c>
      <c r="Q121" s="2"/>
      <c r="R121" s="22">
        <f t="shared" si="11"/>
        <v>3.0219566698776578E-3</v>
      </c>
      <c r="S121" s="2"/>
      <c r="T121" s="2"/>
      <c r="U121" s="2"/>
      <c r="V121" s="22">
        <f t="shared" si="12"/>
        <v>0</v>
      </c>
      <c r="W121" s="2"/>
      <c r="X121" s="2">
        <f t="shared" si="13"/>
        <v>17136.759999999998</v>
      </c>
      <c r="Y121" s="2"/>
      <c r="Z121" s="22">
        <f t="shared" si="14"/>
        <v>0</v>
      </c>
    </row>
    <row r="122" spans="1:26" s="24" customFormat="1" hidden="1" outlineLevel="1" x14ac:dyDescent="0.25">
      <c r="A122" s="51"/>
      <c r="B122" s="11" t="str">
        <f>CONCATENATE("          ", "5504", " - ", "FREIGHT-IN-DIGITAL TEXT")</f>
        <v xml:space="preserve">          5504 - FREIGHT-IN-DIGITAL TEXT</v>
      </c>
      <c r="C122" s="11"/>
      <c r="D122" s="2">
        <v>6.94</v>
      </c>
      <c r="E122" s="2"/>
      <c r="F122" s="22">
        <f t="shared" si="7"/>
        <v>1.7850941143286422E-5</v>
      </c>
      <c r="G122" s="2"/>
      <c r="H122" s="2"/>
      <c r="I122" s="2"/>
      <c r="J122" s="22">
        <f t="shared" si="8"/>
        <v>0</v>
      </c>
      <c r="K122" s="2"/>
      <c r="L122" s="2">
        <f t="shared" si="9"/>
        <v>6.94</v>
      </c>
      <c r="M122" s="2"/>
      <c r="N122" s="22">
        <f t="shared" si="10"/>
        <v>0</v>
      </c>
      <c r="O122" s="11"/>
      <c r="P122" s="2">
        <v>28.92</v>
      </c>
      <c r="Q122" s="2"/>
      <c r="R122" s="22">
        <f t="shared" si="11"/>
        <v>5.0998547504231773E-6</v>
      </c>
      <c r="S122" s="2"/>
      <c r="T122" s="2"/>
      <c r="U122" s="2"/>
      <c r="V122" s="22">
        <f t="shared" si="12"/>
        <v>0</v>
      </c>
      <c r="W122" s="2"/>
      <c r="X122" s="2">
        <f t="shared" si="13"/>
        <v>28.92</v>
      </c>
      <c r="Y122" s="2"/>
      <c r="Z122" s="22">
        <f t="shared" si="14"/>
        <v>0</v>
      </c>
    </row>
    <row r="123" spans="1:26" s="24" customFormat="1" hidden="1" outlineLevel="1" x14ac:dyDescent="0.25">
      <c r="A123" s="51"/>
      <c r="B123" s="11" t="str">
        <f>CONCATENATE("          ", "5513", " - ", "FREIGHT-IN-TRADE BOOKS")</f>
        <v xml:space="preserve">          5513 - FREIGHT-IN-TRADE BOOKS</v>
      </c>
      <c r="C123" s="11"/>
      <c r="D123" s="2"/>
      <c r="E123" s="2"/>
      <c r="F123" s="22">
        <f t="shared" si="7"/>
        <v>0</v>
      </c>
      <c r="G123" s="2"/>
      <c r="H123" s="2"/>
      <c r="I123" s="2"/>
      <c r="J123" s="22">
        <f t="shared" si="8"/>
        <v>0</v>
      </c>
      <c r="K123" s="2"/>
      <c r="L123" s="2">
        <f t="shared" si="9"/>
        <v>0</v>
      </c>
      <c r="M123" s="2"/>
      <c r="N123" s="22">
        <f t="shared" si="10"/>
        <v>0</v>
      </c>
      <c r="O123" s="11"/>
      <c r="P123" s="2">
        <v>33.520000000000003</v>
      </c>
      <c r="Q123" s="2"/>
      <c r="R123" s="22">
        <f t="shared" si="11"/>
        <v>5.9110349666039038E-6</v>
      </c>
      <c r="S123" s="2"/>
      <c r="T123" s="2"/>
      <c r="U123" s="2"/>
      <c r="V123" s="22">
        <f t="shared" si="12"/>
        <v>0</v>
      </c>
      <c r="W123" s="2"/>
      <c r="X123" s="2">
        <f t="shared" si="13"/>
        <v>33.520000000000003</v>
      </c>
      <c r="Y123" s="2"/>
      <c r="Z123" s="22">
        <f t="shared" si="14"/>
        <v>0</v>
      </c>
    </row>
    <row r="124" spans="1:26" s="24" customFormat="1" hidden="1" outlineLevel="1" x14ac:dyDescent="0.25">
      <c r="A124" s="51"/>
      <c r="B124" s="11" t="str">
        <f>CONCATENATE("          ", "5525", " - ", "FREIGHT-IN-TEST FORMS")</f>
        <v xml:space="preserve">          5525 - FREIGHT-IN-TEST FORMS</v>
      </c>
      <c r="C124" s="11"/>
      <c r="D124" s="2"/>
      <c r="E124" s="2"/>
      <c r="F124" s="22">
        <f t="shared" si="7"/>
        <v>0</v>
      </c>
      <c r="G124" s="2"/>
      <c r="H124" s="2"/>
      <c r="I124" s="2"/>
      <c r="J124" s="22">
        <f t="shared" si="8"/>
        <v>0</v>
      </c>
      <c r="K124" s="2"/>
      <c r="L124" s="2">
        <f t="shared" si="9"/>
        <v>0</v>
      </c>
      <c r="M124" s="2"/>
      <c r="N124" s="22">
        <f t="shared" si="10"/>
        <v>0</v>
      </c>
      <c r="O124" s="11"/>
      <c r="P124" s="2">
        <v>48.14</v>
      </c>
      <c r="Q124" s="2"/>
      <c r="R124" s="22">
        <f t="shared" si="11"/>
        <v>8.4891773058565605E-6</v>
      </c>
      <c r="S124" s="2"/>
      <c r="T124" s="2"/>
      <c r="U124" s="2"/>
      <c r="V124" s="22">
        <f t="shared" si="12"/>
        <v>0</v>
      </c>
      <c r="W124" s="2"/>
      <c r="X124" s="2">
        <f t="shared" si="13"/>
        <v>48.14</v>
      </c>
      <c r="Y124" s="2"/>
      <c r="Z124" s="22">
        <f t="shared" si="14"/>
        <v>0</v>
      </c>
    </row>
    <row r="125" spans="1:26" s="24" customFormat="1" hidden="1" outlineLevel="1" x14ac:dyDescent="0.25">
      <c r="A125" s="51"/>
      <c r="B125" s="11" t="str">
        <f>CONCATENATE("          ", "5527", " - ", "FREIGHT-IN-SCHOOL SUPPLIES")</f>
        <v xml:space="preserve">          5527 - FREIGHT-IN-SCHOOL SUPPLIES</v>
      </c>
      <c r="C125" s="11"/>
      <c r="D125" s="2"/>
      <c r="E125" s="2"/>
      <c r="F125" s="22">
        <f t="shared" si="7"/>
        <v>0</v>
      </c>
      <c r="G125" s="2"/>
      <c r="H125" s="2"/>
      <c r="I125" s="2"/>
      <c r="J125" s="22">
        <f t="shared" si="8"/>
        <v>0</v>
      </c>
      <c r="K125" s="2"/>
      <c r="L125" s="2">
        <f t="shared" si="9"/>
        <v>0</v>
      </c>
      <c r="M125" s="2"/>
      <c r="N125" s="22">
        <f t="shared" si="10"/>
        <v>0</v>
      </c>
      <c r="O125" s="11"/>
      <c r="P125" s="2">
        <v>177.5</v>
      </c>
      <c r="Q125" s="2"/>
      <c r="R125" s="22">
        <f t="shared" si="11"/>
        <v>3.1300975733060648E-5</v>
      </c>
      <c r="S125" s="2"/>
      <c r="T125" s="2"/>
      <c r="U125" s="2"/>
      <c r="V125" s="22">
        <f t="shared" si="12"/>
        <v>0</v>
      </c>
      <c r="W125" s="2"/>
      <c r="X125" s="2">
        <f t="shared" si="13"/>
        <v>177.5</v>
      </c>
      <c r="Y125" s="2"/>
      <c r="Z125" s="22">
        <f t="shared" si="14"/>
        <v>0</v>
      </c>
    </row>
    <row r="126" spans="1:26" s="24" customFormat="1" hidden="1" outlineLevel="1" x14ac:dyDescent="0.25">
      <c r="A126" s="51"/>
      <c r="B126" s="11" t="str">
        <f>CONCATENATE("          ", "5528", " - ", "FREIGHT-IN-ART/TECH")</f>
        <v xml:space="preserve">          5528 - FREIGHT-IN-ART/TECH</v>
      </c>
      <c r="C126" s="11"/>
      <c r="D126" s="2">
        <v>12.76</v>
      </c>
      <c r="E126" s="2"/>
      <c r="F126" s="22">
        <f t="shared" si="7"/>
        <v>3.2821038759126045E-5</v>
      </c>
      <c r="G126" s="2"/>
      <c r="H126" s="2"/>
      <c r="I126" s="2"/>
      <c r="J126" s="22">
        <f t="shared" si="8"/>
        <v>0</v>
      </c>
      <c r="K126" s="2"/>
      <c r="L126" s="2">
        <f t="shared" si="9"/>
        <v>12.76</v>
      </c>
      <c r="M126" s="2"/>
      <c r="N126" s="22">
        <f t="shared" si="10"/>
        <v>0</v>
      </c>
      <c r="O126" s="11"/>
      <c r="P126" s="2">
        <v>351.5</v>
      </c>
      <c r="Q126" s="2"/>
      <c r="R126" s="22">
        <f t="shared" si="11"/>
        <v>6.1984749127722916E-5</v>
      </c>
      <c r="S126" s="2"/>
      <c r="T126" s="2"/>
      <c r="U126" s="2"/>
      <c r="V126" s="22">
        <f t="shared" si="12"/>
        <v>0</v>
      </c>
      <c r="W126" s="2"/>
      <c r="X126" s="2">
        <f t="shared" si="13"/>
        <v>351.5</v>
      </c>
      <c r="Y126" s="2"/>
      <c r="Z126" s="22">
        <f t="shared" si="14"/>
        <v>0</v>
      </c>
    </row>
    <row r="127" spans="1:26" s="24" customFormat="1" hidden="1" outlineLevel="1" x14ac:dyDescent="0.25">
      <c r="A127" s="51"/>
      <c r="B127" s="11" t="str">
        <f>CONCATENATE("          ", "5540", " - ", "FREIGHT-IN-LOGO CLOTHING")</f>
        <v xml:space="preserve">          5540 - FREIGHT-IN-LOGO CLOTHING</v>
      </c>
      <c r="C127" s="11"/>
      <c r="D127" s="2">
        <v>150.6</v>
      </c>
      <c r="E127" s="2"/>
      <c r="F127" s="22">
        <f t="shared" si="7"/>
        <v>3.8737056717275722E-4</v>
      </c>
      <c r="G127" s="2"/>
      <c r="H127" s="2"/>
      <c r="I127" s="2"/>
      <c r="J127" s="22">
        <f t="shared" si="8"/>
        <v>0</v>
      </c>
      <c r="K127" s="2"/>
      <c r="L127" s="2">
        <f t="shared" si="9"/>
        <v>150.6</v>
      </c>
      <c r="M127" s="2"/>
      <c r="N127" s="22">
        <f t="shared" si="10"/>
        <v>0</v>
      </c>
      <c r="O127" s="11"/>
      <c r="P127" s="2">
        <v>5941.23</v>
      </c>
      <c r="Q127" s="2"/>
      <c r="R127" s="22">
        <f t="shared" si="11"/>
        <v>1.047697442560743E-3</v>
      </c>
      <c r="S127" s="2"/>
      <c r="T127" s="2"/>
      <c r="U127" s="2"/>
      <c r="V127" s="22">
        <f t="shared" si="12"/>
        <v>0</v>
      </c>
      <c r="W127" s="2"/>
      <c r="X127" s="2">
        <f t="shared" si="13"/>
        <v>5941.23</v>
      </c>
      <c r="Y127" s="2"/>
      <c r="Z127" s="22">
        <f t="shared" si="14"/>
        <v>0</v>
      </c>
    </row>
    <row r="128" spans="1:26" s="24" customFormat="1" hidden="1" outlineLevel="1" x14ac:dyDescent="0.25">
      <c r="A128" s="51"/>
      <c r="B128" s="11" t="str">
        <f>CONCATENATE("          ", "5541", " - ", "FREIGHT-IN-LOGO GIFTS")</f>
        <v xml:space="preserve">          5541 - FREIGHT-IN-LOGO GIFTS</v>
      </c>
      <c r="C128" s="11"/>
      <c r="D128" s="2">
        <v>375.06</v>
      </c>
      <c r="E128" s="2"/>
      <c r="F128" s="22">
        <f t="shared" si="7"/>
        <v>9.6472247625374716E-4</v>
      </c>
      <c r="G128" s="2"/>
      <c r="H128" s="2"/>
      <c r="I128" s="2"/>
      <c r="J128" s="22">
        <f t="shared" si="8"/>
        <v>0</v>
      </c>
      <c r="K128" s="2"/>
      <c r="L128" s="2">
        <f t="shared" si="9"/>
        <v>375.06</v>
      </c>
      <c r="M128" s="2"/>
      <c r="N128" s="22">
        <f t="shared" si="10"/>
        <v>0</v>
      </c>
      <c r="O128" s="11"/>
      <c r="P128" s="2">
        <v>2077.9299999999998</v>
      </c>
      <c r="Q128" s="2"/>
      <c r="R128" s="22">
        <f t="shared" si="11"/>
        <v>3.6642950143661238E-4</v>
      </c>
      <c r="S128" s="2"/>
      <c r="T128" s="2"/>
      <c r="U128" s="2"/>
      <c r="V128" s="22">
        <f t="shared" si="12"/>
        <v>0</v>
      </c>
      <c r="W128" s="2"/>
      <c r="X128" s="2">
        <f t="shared" si="13"/>
        <v>2077.9299999999998</v>
      </c>
      <c r="Y128" s="2"/>
      <c r="Z128" s="22">
        <f t="shared" si="14"/>
        <v>0</v>
      </c>
    </row>
    <row r="129" spans="1:26" s="24" customFormat="1" hidden="1" outlineLevel="1" x14ac:dyDescent="0.25">
      <c r="A129" s="51"/>
      <c r="B129" s="11" t="str">
        <f>CONCATENATE("          ", "5542", " - ", "FREIGHT-IN-EVERYDAY GIFTS")</f>
        <v xml:space="preserve">          5542 - FREIGHT-IN-EVERYDAY GIFTS</v>
      </c>
      <c r="C129" s="11"/>
      <c r="D129" s="2"/>
      <c r="E129" s="2"/>
      <c r="F129" s="22">
        <f t="shared" si="7"/>
        <v>0</v>
      </c>
      <c r="G129" s="2"/>
      <c r="H129" s="2"/>
      <c r="I129" s="2"/>
      <c r="J129" s="22">
        <f t="shared" si="8"/>
        <v>0</v>
      </c>
      <c r="K129" s="2"/>
      <c r="L129" s="2">
        <f t="shared" si="9"/>
        <v>0</v>
      </c>
      <c r="M129" s="2"/>
      <c r="N129" s="22">
        <f t="shared" si="10"/>
        <v>0</v>
      </c>
      <c r="O129" s="11"/>
      <c r="P129" s="2">
        <v>383.93</v>
      </c>
      <c r="Q129" s="2"/>
      <c r="R129" s="22">
        <f t="shared" si="11"/>
        <v>6.7703569651797032E-5</v>
      </c>
      <c r="S129" s="2"/>
      <c r="T129" s="2"/>
      <c r="U129" s="2"/>
      <c r="V129" s="22">
        <f t="shared" si="12"/>
        <v>0</v>
      </c>
      <c r="W129" s="2"/>
      <c r="X129" s="2">
        <f t="shared" si="13"/>
        <v>383.93</v>
      </c>
      <c r="Y129" s="2"/>
      <c r="Z129" s="22">
        <f t="shared" si="14"/>
        <v>0</v>
      </c>
    </row>
    <row r="130" spans="1:26" s="24" customFormat="1" hidden="1" outlineLevel="1" x14ac:dyDescent="0.25">
      <c r="A130" s="51"/>
      <c r="B130" s="11" t="str">
        <f>CONCATENATE("          ", "5543", " - ", "FREIGHT-IN-CARDS")</f>
        <v xml:space="preserve">          5543 - FREIGHT-IN-CARDS</v>
      </c>
      <c r="C130" s="11"/>
      <c r="D130" s="2"/>
      <c r="E130" s="2"/>
      <c r="F130" s="22">
        <f t="shared" si="7"/>
        <v>0</v>
      </c>
      <c r="G130" s="2"/>
      <c r="H130" s="2"/>
      <c r="I130" s="2"/>
      <c r="J130" s="22">
        <f t="shared" si="8"/>
        <v>0</v>
      </c>
      <c r="K130" s="2"/>
      <c r="L130" s="2">
        <f t="shared" si="9"/>
        <v>0</v>
      </c>
      <c r="M130" s="2"/>
      <c r="N130" s="22">
        <f t="shared" si="10"/>
        <v>0</v>
      </c>
      <c r="O130" s="11"/>
      <c r="P130" s="2">
        <v>9110.5300000000007</v>
      </c>
      <c r="Q130" s="2"/>
      <c r="R130" s="22">
        <f t="shared" si="11"/>
        <v>1.6065829771567382E-3</v>
      </c>
      <c r="S130" s="2"/>
      <c r="T130" s="2"/>
      <c r="U130" s="2"/>
      <c r="V130" s="22">
        <f t="shared" si="12"/>
        <v>0</v>
      </c>
      <c r="W130" s="2"/>
      <c r="X130" s="2">
        <f t="shared" si="13"/>
        <v>9110.5300000000007</v>
      </c>
      <c r="Y130" s="2"/>
      <c r="Z130" s="22">
        <f t="shared" si="14"/>
        <v>0</v>
      </c>
    </row>
    <row r="131" spans="1:26" s="24" customFormat="1" hidden="1" outlineLevel="1" x14ac:dyDescent="0.25">
      <c r="A131" s="51"/>
      <c r="B131" s="11" t="str">
        <f>CONCATENATE("          ", "5545", " - ", "FREIGHT-IN-SPECIAL ORDERS")</f>
        <v xml:space="preserve">          5545 - FREIGHT-IN-SPECIAL ORDERS</v>
      </c>
      <c r="C131" s="11"/>
      <c r="D131" s="2">
        <v>134.74</v>
      </c>
      <c r="E131" s="2"/>
      <c r="F131" s="22">
        <f t="shared" si="7"/>
        <v>3.4657576507873383E-4</v>
      </c>
      <c r="G131" s="2"/>
      <c r="H131" s="2"/>
      <c r="I131" s="2"/>
      <c r="J131" s="22">
        <f t="shared" si="8"/>
        <v>0</v>
      </c>
      <c r="K131" s="2"/>
      <c r="L131" s="2">
        <f t="shared" si="9"/>
        <v>134.74</v>
      </c>
      <c r="M131" s="2"/>
      <c r="N131" s="22">
        <f t="shared" si="10"/>
        <v>0</v>
      </c>
      <c r="O131" s="11"/>
      <c r="P131" s="2">
        <v>1248.53</v>
      </c>
      <c r="Q131" s="2"/>
      <c r="R131" s="22">
        <f t="shared" si="11"/>
        <v>2.201701815887223E-4</v>
      </c>
      <c r="S131" s="2"/>
      <c r="T131" s="2"/>
      <c r="U131" s="2"/>
      <c r="V131" s="22">
        <f t="shared" si="12"/>
        <v>0</v>
      </c>
      <c r="W131" s="2"/>
      <c r="X131" s="2">
        <f t="shared" si="13"/>
        <v>1248.53</v>
      </c>
      <c r="Y131" s="2"/>
      <c r="Z131" s="22">
        <f t="shared" si="14"/>
        <v>0</v>
      </c>
    </row>
    <row r="132" spans="1:26" s="24" customFormat="1" hidden="1" outlineLevel="1" x14ac:dyDescent="0.25">
      <c r="A132" s="51"/>
      <c r="B132" s="11" t="str">
        <f>CONCATENATE("          ", "5581", " - ", "FREIGHT-IN-ELECTRONICS")</f>
        <v xml:space="preserve">          5581 - FREIGHT-IN-ELECTRONICS</v>
      </c>
      <c r="C132" s="11"/>
      <c r="D132" s="2"/>
      <c r="E132" s="2"/>
      <c r="F132" s="22">
        <f t="shared" si="7"/>
        <v>0</v>
      </c>
      <c r="G132" s="2"/>
      <c r="H132" s="2"/>
      <c r="I132" s="2"/>
      <c r="J132" s="22">
        <f t="shared" si="8"/>
        <v>0</v>
      </c>
      <c r="K132" s="2"/>
      <c r="L132" s="2">
        <f t="shared" si="9"/>
        <v>0</v>
      </c>
      <c r="M132" s="2"/>
      <c r="N132" s="22">
        <f t="shared" si="10"/>
        <v>0</v>
      </c>
      <c r="O132" s="11"/>
      <c r="P132" s="2">
        <v>31</v>
      </c>
      <c r="Q132" s="2"/>
      <c r="R132" s="22">
        <f t="shared" si="11"/>
        <v>5.4666492829570703E-6</v>
      </c>
      <c r="S132" s="2"/>
      <c r="T132" s="2"/>
      <c r="U132" s="2"/>
      <c r="V132" s="22">
        <f t="shared" si="12"/>
        <v>0</v>
      </c>
      <c r="W132" s="2"/>
      <c r="X132" s="2">
        <f t="shared" si="13"/>
        <v>31</v>
      </c>
      <c r="Y132" s="2"/>
      <c r="Z132" s="22">
        <f t="shared" si="14"/>
        <v>0</v>
      </c>
    </row>
    <row r="133" spans="1:26" s="24" customFormat="1" hidden="1" outlineLevel="1" x14ac:dyDescent="0.25">
      <c r="A133" s="51"/>
      <c r="B133" s="11" t="str">
        <f>CONCATENATE("          ", "5582", " - ", "FREIGHT-IN-COMPUTER HARDWARE")</f>
        <v xml:space="preserve">          5582 - FREIGHT-IN-COMPUTER HARDWARE</v>
      </c>
      <c r="C133" s="11"/>
      <c r="D133" s="2">
        <v>31</v>
      </c>
      <c r="E133" s="2"/>
      <c r="F133" s="22">
        <f t="shared" si="7"/>
        <v>7.9737633348973933E-5</v>
      </c>
      <c r="G133" s="2"/>
      <c r="H133" s="2"/>
      <c r="I133" s="2"/>
      <c r="J133" s="22">
        <f t="shared" si="8"/>
        <v>0</v>
      </c>
      <c r="K133" s="2"/>
      <c r="L133" s="2">
        <f t="shared" si="9"/>
        <v>31</v>
      </c>
      <c r="M133" s="2"/>
      <c r="N133" s="22">
        <f t="shared" si="10"/>
        <v>0</v>
      </c>
      <c r="O133" s="11"/>
      <c r="P133" s="2">
        <v>125</v>
      </c>
      <c r="Q133" s="2"/>
      <c r="R133" s="22">
        <f t="shared" si="11"/>
        <v>2.204294065708496E-5</v>
      </c>
      <c r="S133" s="2"/>
      <c r="T133" s="2"/>
      <c r="U133" s="2"/>
      <c r="V133" s="22">
        <f t="shared" si="12"/>
        <v>0</v>
      </c>
      <c r="W133" s="2"/>
      <c r="X133" s="2">
        <f t="shared" si="13"/>
        <v>125</v>
      </c>
      <c r="Y133" s="2"/>
      <c r="Z133" s="22">
        <f t="shared" si="14"/>
        <v>0</v>
      </c>
    </row>
    <row r="134" spans="1:26" s="24" customFormat="1" hidden="1" outlineLevel="1" x14ac:dyDescent="0.25">
      <c r="A134" s="51"/>
      <c r="B134" s="11" t="str">
        <f>CONCATENATE("          ", "5583", " - ", "FREIGHT-IN-COMPUTER EQUIPMENT")</f>
        <v xml:space="preserve">          5583 - FREIGHT-IN-COMPUTER EQUIPMENT</v>
      </c>
      <c r="C134" s="11"/>
      <c r="D134" s="2"/>
      <c r="E134" s="2"/>
      <c r="F134" s="22">
        <f t="shared" si="7"/>
        <v>0</v>
      </c>
      <c r="G134" s="2"/>
      <c r="H134" s="2"/>
      <c r="I134" s="2"/>
      <c r="J134" s="22">
        <f t="shared" si="8"/>
        <v>0</v>
      </c>
      <c r="K134" s="2"/>
      <c r="L134" s="2">
        <f t="shared" si="9"/>
        <v>0</v>
      </c>
      <c r="M134" s="2"/>
      <c r="N134" s="22">
        <f t="shared" si="10"/>
        <v>0</v>
      </c>
      <c r="O134" s="11"/>
      <c r="P134" s="2">
        <v>242.46</v>
      </c>
      <c r="Q134" s="2"/>
      <c r="R134" s="22">
        <f t="shared" si="11"/>
        <v>4.2756251133734558E-5</v>
      </c>
      <c r="S134" s="2"/>
      <c r="T134" s="2"/>
      <c r="U134" s="2"/>
      <c r="V134" s="22">
        <f t="shared" si="12"/>
        <v>0</v>
      </c>
      <c r="W134" s="2"/>
      <c r="X134" s="2">
        <f t="shared" si="13"/>
        <v>242.46</v>
      </c>
      <c r="Y134" s="2"/>
      <c r="Z134" s="22">
        <f t="shared" si="14"/>
        <v>0</v>
      </c>
    </row>
    <row r="135" spans="1:26" s="24" customFormat="1" hidden="1" outlineLevel="1" x14ac:dyDescent="0.25">
      <c r="A135" s="51"/>
      <c r="B135" s="11" t="str">
        <f>CONCATENATE("          ", "5586", " - ", "FREIGHT-IN-COMPUTER SUPPLIES")</f>
        <v xml:space="preserve">          5586 - FREIGHT-IN-COMPUTER SUPPLIES</v>
      </c>
      <c r="C135" s="11"/>
      <c r="D135" s="2"/>
      <c r="E135" s="2"/>
      <c r="F135" s="22">
        <f t="shared" si="7"/>
        <v>0</v>
      </c>
      <c r="G135" s="2"/>
      <c r="H135" s="2"/>
      <c r="I135" s="2"/>
      <c r="J135" s="22">
        <f t="shared" si="8"/>
        <v>0</v>
      </c>
      <c r="K135" s="2"/>
      <c r="L135" s="2">
        <f t="shared" si="9"/>
        <v>0</v>
      </c>
      <c r="M135" s="2"/>
      <c r="N135" s="22">
        <f t="shared" si="10"/>
        <v>0</v>
      </c>
      <c r="O135" s="11"/>
      <c r="P135" s="2">
        <v>24.12</v>
      </c>
      <c r="Q135" s="2"/>
      <c r="R135" s="22">
        <f t="shared" si="11"/>
        <v>4.253405829191114E-6</v>
      </c>
      <c r="S135" s="2"/>
      <c r="T135" s="2"/>
      <c r="U135" s="2"/>
      <c r="V135" s="22">
        <f t="shared" si="12"/>
        <v>0</v>
      </c>
      <c r="W135" s="2"/>
      <c r="X135" s="2">
        <f t="shared" si="13"/>
        <v>24.12</v>
      </c>
      <c r="Y135" s="2"/>
      <c r="Z135" s="22">
        <f t="shared" si="14"/>
        <v>0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5" t="s">
        <v>6</v>
      </c>
      <c r="C137" s="25"/>
      <c r="D137" s="19">
        <f>D12-D92</f>
        <v>90504.879999999946</v>
      </c>
      <c r="E137" s="13"/>
      <c r="F137" s="21">
        <f>IF(D$12=0,0,D137/D$12)</f>
        <v>0.2327949979913832</v>
      </c>
      <c r="G137" s="13"/>
      <c r="H137" s="19">
        <f>H12-H92</f>
        <v>356059</v>
      </c>
      <c r="I137" s="13"/>
      <c r="J137" s="21">
        <f>IF(H$12=0,0,H137/H$12)</f>
        <v>0.45772174615050382</v>
      </c>
      <c r="K137" s="15"/>
      <c r="L137" s="19">
        <f>+D137-H137</f>
        <v>-265554.12000000005</v>
      </c>
      <c r="M137" s="15"/>
      <c r="N137" s="21">
        <f>IF(H137=0,0,L137/H137)</f>
        <v>-0.74581493516523967</v>
      </c>
      <c r="O137" s="26"/>
      <c r="P137" s="19">
        <f>P12-P92</f>
        <v>1539726.9900000002</v>
      </c>
      <c r="Q137" s="13"/>
      <c r="R137" s="21">
        <f>IF(P$12=0,0,P137/P$12)</f>
        <v>0.27152088534945645</v>
      </c>
      <c r="S137" s="13"/>
      <c r="T137" s="19">
        <f>T12-T92</f>
        <v>3289365</v>
      </c>
      <c r="U137" s="13"/>
      <c r="V137" s="21">
        <f>IF(T$12=0,0,T137/T$12)</f>
        <v>0.36393190039661855</v>
      </c>
      <c r="W137" s="15"/>
      <c r="X137" s="19">
        <f>+P137-T137</f>
        <v>-1749638.0099999998</v>
      </c>
      <c r="Y137" s="15"/>
      <c r="Z137" s="21">
        <f>IF(T137=0,0,X137/T137)</f>
        <v>-0.53190752926476681</v>
      </c>
    </row>
    <row r="138" spans="1:26" x14ac:dyDescent="0.25">
      <c r="A138" s="9"/>
      <c r="B138" s="10"/>
      <c r="C138" s="9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x14ac:dyDescent="0.25">
      <c r="A139" s="10"/>
      <c r="B139" s="26" t="s">
        <v>9</v>
      </c>
      <c r="C139" s="10"/>
      <c r="D139" s="20">
        <f>SUM(OSRRefD22x_0)</f>
        <v>262302.67000000004</v>
      </c>
      <c r="E139" s="20"/>
      <c r="F139" s="33">
        <f t="shared" ref="F139:F150" si="15">IF(D$12=0,0,D139/D$12)</f>
        <v>0.67469013312635184</v>
      </c>
      <c r="G139" s="20"/>
      <c r="H139" s="20">
        <f>SUM(OSRRefH22x_0)</f>
        <v>383230.85016207461</v>
      </c>
      <c r="I139" s="20"/>
      <c r="J139" s="33">
        <f t="shared" ref="J139:J150" si="16">IF(H$12=0,0,H139/H$12)</f>
        <v>0.49265176253072346</v>
      </c>
      <c r="K139" s="4"/>
      <c r="L139" s="20">
        <f t="shared" ref="L139:L150" si="17">+D139-H139</f>
        <v>-120928.18016207457</v>
      </c>
      <c r="M139" s="4"/>
      <c r="N139" s="33">
        <f t="shared" ref="N139:N150" si="18">IF(H139=0,0,L139/H139)</f>
        <v>-0.3155491790677396</v>
      </c>
      <c r="O139" s="10"/>
      <c r="P139" s="20">
        <f>SUM(OSRRefP22x_0)</f>
        <v>2263182.7999999993</v>
      </c>
      <c r="Q139" s="20"/>
      <c r="R139" s="33">
        <f t="shared" ref="R139:R150" si="19">IF(P$12=0,0,P139/P$12)</f>
        <v>0.39909763325228292</v>
      </c>
      <c r="S139" s="20"/>
      <c r="T139" s="20">
        <f>SUM(OSRRefT22x_0)</f>
        <v>3192788.5375434556</v>
      </c>
      <c r="U139" s="20"/>
      <c r="V139" s="33">
        <f t="shared" ref="V139:V150" si="20">IF(T$12=0,0,T139/T$12)</f>
        <v>0.35324678168361678</v>
      </c>
      <c r="W139" s="4"/>
      <c r="X139" s="20">
        <f t="shared" ref="X139:X150" si="21">+P139-T139</f>
        <v>-929605.73754345626</v>
      </c>
      <c r="Y139" s="4"/>
      <c r="Z139" s="33">
        <f t="shared" ref="Z139:Z150" si="22">IF(T139=0,0,X139/T139)</f>
        <v>-0.29115794128310757</v>
      </c>
    </row>
    <row r="140" spans="1:26" s="28" customFormat="1" outlineLevel="1" collapsed="1" x14ac:dyDescent="0.25">
      <c r="A140" s="29"/>
      <c r="B140" s="14" t="str">
        <f>CONCATENATE("     ","*Benefits                                         ")</f>
        <v xml:space="preserve">     *Benefits                                         </v>
      </c>
      <c r="C140" s="14"/>
      <c r="D140" s="1">
        <f>SUM(OSRRefD22_0x_0)</f>
        <v>47905.339999999989</v>
      </c>
      <c r="E140" s="1"/>
      <c r="F140" s="5">
        <f t="shared" si="15"/>
        <v>0.12322123988315917</v>
      </c>
      <c r="G140" s="1"/>
      <c r="H140" s="1">
        <f>SUM(OSRRefH22_0x_0)</f>
        <v>44681.497218382297</v>
      </c>
      <c r="I140" s="1"/>
      <c r="J140" s="5">
        <f t="shared" si="16"/>
        <v>5.7439056244658393E-2</v>
      </c>
      <c r="K140" s="1"/>
      <c r="L140" s="1">
        <f t="shared" si="17"/>
        <v>3223.8427816176918</v>
      </c>
      <c r="M140" s="1"/>
      <c r="N140" s="5">
        <f t="shared" si="18"/>
        <v>7.215162835437347E-2</v>
      </c>
      <c r="O140" s="14"/>
      <c r="P140" s="1">
        <f>SUM(OSRRefP22_0x_0)</f>
        <v>387927.62</v>
      </c>
      <c r="Q140" s="1"/>
      <c r="R140" s="5">
        <f t="shared" si="19"/>
        <v>6.8408524055233635E-2</v>
      </c>
      <c r="S140" s="1"/>
      <c r="T140" s="1">
        <f>SUM(OSRRefT22_0x_0)</f>
        <v>386206.60604114761</v>
      </c>
      <c r="U140" s="1"/>
      <c r="V140" s="5">
        <f t="shared" si="20"/>
        <v>4.2729494623516398E-2</v>
      </c>
      <c r="W140" s="1"/>
      <c r="X140" s="1">
        <f t="shared" si="21"/>
        <v>1721.0139588523889</v>
      </c>
      <c r="Y140" s="1"/>
      <c r="Z140" s="5">
        <f t="shared" si="22"/>
        <v>4.4562002097629236E-3</v>
      </c>
    </row>
    <row r="141" spans="1:26" s="24" customFormat="1" hidden="1" outlineLevel="2" x14ac:dyDescent="0.25">
      <c r="A141" s="27"/>
      <c r="B141" s="11" t="str">
        <f>CONCATENATE("          ", "6111", " - ", "F.I.C.A.")</f>
        <v xml:space="preserve">          6111 - F.I.C.A.</v>
      </c>
      <c r="C141" s="11"/>
      <c r="D141" s="7">
        <v>7990.37</v>
      </c>
      <c r="E141" s="2"/>
      <c r="F141" s="6">
        <f t="shared" si="15"/>
        <v>2.0552683657504543E-2</v>
      </c>
      <c r="G141" s="2"/>
      <c r="H141" s="7">
        <v>6951.7034754092274</v>
      </c>
      <c r="I141" s="2"/>
      <c r="J141" s="6">
        <f t="shared" si="16"/>
        <v>8.9365690896307561E-3</v>
      </c>
      <c r="K141" s="2"/>
      <c r="L141" s="7">
        <f t="shared" si="17"/>
        <v>1038.6665245907725</v>
      </c>
      <c r="M141" s="2"/>
      <c r="N141" s="6">
        <f t="shared" si="18"/>
        <v>0.14941179931867407</v>
      </c>
      <c r="O141" s="11"/>
      <c r="P141" s="7">
        <v>75278.680000000008</v>
      </c>
      <c r="Q141" s="2"/>
      <c r="R141" s="6">
        <f t="shared" si="19"/>
        <v>1.327490780786951E-2</v>
      </c>
      <c r="S141" s="2"/>
      <c r="T141" s="7">
        <v>71511.017555045764</v>
      </c>
      <c r="U141" s="2"/>
      <c r="V141" s="6">
        <f t="shared" si="20"/>
        <v>7.9119041268158902E-3</v>
      </c>
      <c r="W141" s="2"/>
      <c r="X141" s="7">
        <f t="shared" si="21"/>
        <v>3767.6624449542433</v>
      </c>
      <c r="Y141" s="2"/>
      <c r="Z141" s="6">
        <f t="shared" si="22"/>
        <v>5.2686461104459556E-2</v>
      </c>
    </row>
    <row r="142" spans="1:26" s="24" customFormat="1" hidden="1" outlineLevel="2" x14ac:dyDescent="0.25">
      <c r="A142" s="27"/>
      <c r="B142" s="11" t="str">
        <f>CONCATENATE("          ", "6112", " - ", "COMPENSATION INSURANCE")</f>
        <v xml:space="preserve">          6112 - COMPENSATION INSURANCE</v>
      </c>
      <c r="C142" s="11"/>
      <c r="D142" s="7">
        <v>1917.8</v>
      </c>
      <c r="E142" s="2"/>
      <c r="F142" s="6">
        <f t="shared" si="15"/>
        <v>4.9329301044084579E-3</v>
      </c>
      <c r="G142" s="2"/>
      <c r="H142" s="7">
        <v>3346.9949559807678</v>
      </c>
      <c r="I142" s="2"/>
      <c r="J142" s="6">
        <f t="shared" si="16"/>
        <v>4.3026362923235919E-3</v>
      </c>
      <c r="K142" s="2"/>
      <c r="L142" s="7">
        <f t="shared" si="17"/>
        <v>-1429.1949559807679</v>
      </c>
      <c r="M142" s="2"/>
      <c r="N142" s="6">
        <f t="shared" si="18"/>
        <v>-0.42700839851190386</v>
      </c>
      <c r="O142" s="11"/>
      <c r="P142" s="7">
        <v>19436.09</v>
      </c>
      <c r="Q142" s="2"/>
      <c r="R142" s="6">
        <f t="shared" si="19"/>
        <v>3.4274286278060998E-3</v>
      </c>
      <c r="S142" s="2"/>
      <c r="T142" s="7">
        <v>28222.698069144222</v>
      </c>
      <c r="U142" s="2"/>
      <c r="V142" s="6">
        <f t="shared" si="20"/>
        <v>3.1225297717412427E-3</v>
      </c>
      <c r="W142" s="2"/>
      <c r="X142" s="7">
        <f t="shared" si="21"/>
        <v>-8786.6080691442221</v>
      </c>
      <c r="Y142" s="2"/>
      <c r="Z142" s="6">
        <f t="shared" si="22"/>
        <v>-0.31133125711855986</v>
      </c>
    </row>
    <row r="143" spans="1:26" s="24" customFormat="1" hidden="1" outlineLevel="2" x14ac:dyDescent="0.25">
      <c r="A143" s="27"/>
      <c r="B143" s="11" t="str">
        <f>CONCATENATE("          ", "6113", " - ", "GROUP INSURANCE")</f>
        <v xml:space="preserve">          6113 - GROUP INSURANCE</v>
      </c>
      <c r="C143" s="11"/>
      <c r="D143" s="7">
        <v>19341.649999999998</v>
      </c>
      <c r="E143" s="2"/>
      <c r="F143" s="6">
        <f t="shared" si="15"/>
        <v>4.9750238582715531E-2</v>
      </c>
      <c r="G143" s="2"/>
      <c r="H143" s="7">
        <v>18233.846153846156</v>
      </c>
      <c r="I143" s="2"/>
      <c r="J143" s="6">
        <f t="shared" si="16"/>
        <v>2.344001387572877E-2</v>
      </c>
      <c r="K143" s="2"/>
      <c r="L143" s="7">
        <f t="shared" si="17"/>
        <v>1107.8038461538417</v>
      </c>
      <c r="M143" s="2"/>
      <c r="N143" s="6">
        <f t="shared" si="18"/>
        <v>6.0755357745527934E-2</v>
      </c>
      <c r="O143" s="11"/>
      <c r="P143" s="7">
        <v>136628.26999999999</v>
      </c>
      <c r="Q143" s="2"/>
      <c r="R143" s="6">
        <f t="shared" si="19"/>
        <v>2.409351078152145E-2</v>
      </c>
      <c r="S143" s="2"/>
      <c r="T143" s="7">
        <v>148671.15384615379</v>
      </c>
      <c r="U143" s="2"/>
      <c r="V143" s="6">
        <f t="shared" si="20"/>
        <v>1.6448820837270655E-2</v>
      </c>
      <c r="W143" s="2"/>
      <c r="X143" s="7">
        <f t="shared" si="21"/>
        <v>-12042.883846153796</v>
      </c>
      <c r="Y143" s="2"/>
      <c r="Z143" s="6">
        <f t="shared" si="22"/>
        <v>-8.1003500239299128E-2</v>
      </c>
    </row>
    <row r="144" spans="1:26" s="24" customFormat="1" hidden="1" outlineLevel="2" x14ac:dyDescent="0.25">
      <c r="A144" s="27"/>
      <c r="B144" s="11" t="str">
        <f>CONCATENATE("          ", "6114", " - ", "STATE UNEMPLOYMENT INSURANCE")</f>
        <v xml:space="preserve">          6114 - STATE UNEMPLOYMENT INSURANCE</v>
      </c>
      <c r="C144" s="11"/>
      <c r="D144" s="7">
        <v>334.74</v>
      </c>
      <c r="E144" s="2"/>
      <c r="F144" s="6">
        <f t="shared" si="15"/>
        <v>8.6101210926566247E-4</v>
      </c>
      <c r="G144" s="2"/>
      <c r="H144" s="7">
        <v>475.46253630000007</v>
      </c>
      <c r="I144" s="2"/>
      <c r="J144" s="6">
        <f t="shared" si="16"/>
        <v>6.1121764186380153E-4</v>
      </c>
      <c r="K144" s="2"/>
      <c r="L144" s="7">
        <f t="shared" si="17"/>
        <v>-140.72253630000006</v>
      </c>
      <c r="M144" s="2"/>
      <c r="N144" s="6">
        <f t="shared" si="18"/>
        <v>-0.29596976745021425</v>
      </c>
      <c r="O144" s="11"/>
      <c r="P144" s="7">
        <v>3110.28</v>
      </c>
      <c r="Q144" s="2"/>
      <c r="R144" s="6">
        <f t="shared" si="19"/>
        <v>5.484777397353458E-4</v>
      </c>
      <c r="S144" s="2"/>
      <c r="T144" s="7">
        <v>3997.7063541500002</v>
      </c>
      <c r="U144" s="2"/>
      <c r="V144" s="6">
        <f t="shared" si="20"/>
        <v>4.4230204635041927E-4</v>
      </c>
      <c r="W144" s="2"/>
      <c r="X144" s="7">
        <f t="shared" si="21"/>
        <v>-887.42635414999995</v>
      </c>
      <c r="Y144" s="2"/>
      <c r="Z144" s="6">
        <f t="shared" si="22"/>
        <v>-0.22198387663685373</v>
      </c>
    </row>
    <row r="145" spans="1:26" s="24" customFormat="1" hidden="1" outlineLevel="2" x14ac:dyDescent="0.25">
      <c r="A145" s="27"/>
      <c r="B145" s="11" t="str">
        <f>CONCATENATE("          ", "6115", " - ", "P.E.R.S.")</f>
        <v xml:space="preserve">          6115 - P.E.R.S.</v>
      </c>
      <c r="C145" s="11"/>
      <c r="D145" s="7">
        <v>6467.86</v>
      </c>
      <c r="E145" s="2"/>
      <c r="F145" s="6">
        <f t="shared" si="15"/>
        <v>1.6636511265564338E-2</v>
      </c>
      <c r="G145" s="2"/>
      <c r="H145" s="7">
        <v>4936.0490141538467</v>
      </c>
      <c r="I145" s="2"/>
      <c r="J145" s="6">
        <f t="shared" si="16"/>
        <v>6.345400548344436E-3</v>
      </c>
      <c r="K145" s="2"/>
      <c r="L145" s="7">
        <f t="shared" si="17"/>
        <v>1531.810985846153</v>
      </c>
      <c r="M145" s="2"/>
      <c r="N145" s="6">
        <f t="shared" si="18"/>
        <v>0.31033139692368733</v>
      </c>
      <c r="O145" s="11"/>
      <c r="P145" s="7">
        <v>57404.49</v>
      </c>
      <c r="Q145" s="2"/>
      <c r="R145" s="6">
        <f t="shared" si="19"/>
        <v>1.0122910132161817E-2</v>
      </c>
      <c r="S145" s="2"/>
      <c r="T145" s="7">
        <v>42884.828131846152</v>
      </c>
      <c r="U145" s="2"/>
      <c r="V145" s="6">
        <f t="shared" si="20"/>
        <v>4.7447324940239647E-3</v>
      </c>
      <c r="W145" s="2"/>
      <c r="X145" s="7">
        <f t="shared" si="21"/>
        <v>14519.661868153846</v>
      </c>
      <c r="Y145" s="2"/>
      <c r="Z145" s="6">
        <f t="shared" si="22"/>
        <v>0.33857339531627006</v>
      </c>
    </row>
    <row r="146" spans="1:26" s="24" customFormat="1" hidden="1" outlineLevel="2" x14ac:dyDescent="0.25">
      <c r="A146" s="27"/>
      <c r="B146" s="11" t="str">
        <f>CONCATENATE("          ", "6116", " - ", "EDUCATIONAL BENEFITS")</f>
        <v xml:space="preserve">          6116 - EDUCATIONAL BENEFITS</v>
      </c>
      <c r="C146" s="11"/>
      <c r="D146" s="7"/>
      <c r="E146" s="2"/>
      <c r="F146" s="6">
        <f t="shared" si="15"/>
        <v>0</v>
      </c>
      <c r="G146" s="2"/>
      <c r="H146" s="7">
        <v>0</v>
      </c>
      <c r="I146" s="2"/>
      <c r="J146" s="6">
        <f t="shared" si="16"/>
        <v>0</v>
      </c>
      <c r="K146" s="2"/>
      <c r="L146" s="7">
        <f t="shared" si="17"/>
        <v>0</v>
      </c>
      <c r="M146" s="2"/>
      <c r="N146" s="6">
        <f t="shared" si="18"/>
        <v>0</v>
      </c>
      <c r="O146" s="11"/>
      <c r="P146" s="7">
        <v>0</v>
      </c>
      <c r="Q146" s="2"/>
      <c r="R146" s="6">
        <f t="shared" si="19"/>
        <v>0</v>
      </c>
      <c r="S146" s="2"/>
      <c r="T146" s="7">
        <v>0</v>
      </c>
      <c r="U146" s="2"/>
      <c r="V146" s="6">
        <f t="shared" si="20"/>
        <v>0</v>
      </c>
      <c r="W146" s="2"/>
      <c r="X146" s="7">
        <f t="shared" si="21"/>
        <v>0</v>
      </c>
      <c r="Y146" s="2"/>
      <c r="Z146" s="6">
        <f t="shared" si="22"/>
        <v>0</v>
      </c>
    </row>
    <row r="147" spans="1:26" s="24" customFormat="1" hidden="1" outlineLevel="2" x14ac:dyDescent="0.25">
      <c r="A147" s="27"/>
      <c r="B147" s="11" t="str">
        <f>CONCATENATE("          ", "6117", " - ", "RETIREMENT STAFF HOURLY")</f>
        <v xml:space="preserve">          6117 - RETIREMENT STAFF HOURLY</v>
      </c>
      <c r="C147" s="11"/>
      <c r="D147" s="7">
        <v>685.38</v>
      </c>
      <c r="E147" s="2"/>
      <c r="F147" s="6">
        <f t="shared" si="15"/>
        <v>1.7629219078941856E-3</v>
      </c>
      <c r="G147" s="2"/>
      <c r="H147" s="7"/>
      <c r="I147" s="2"/>
      <c r="J147" s="6">
        <f t="shared" si="16"/>
        <v>0</v>
      </c>
      <c r="K147" s="2"/>
      <c r="L147" s="7">
        <f t="shared" si="17"/>
        <v>685.38</v>
      </c>
      <c r="M147" s="2"/>
      <c r="N147" s="6">
        <f t="shared" si="18"/>
        <v>0</v>
      </c>
      <c r="O147" s="11"/>
      <c r="P147" s="7">
        <v>4207.46</v>
      </c>
      <c r="Q147" s="2"/>
      <c r="R147" s="6">
        <f t="shared" si="19"/>
        <v>7.4195832877646951E-4</v>
      </c>
      <c r="S147" s="2"/>
      <c r="T147" s="7"/>
      <c r="U147" s="2"/>
      <c r="V147" s="6">
        <f t="shared" si="20"/>
        <v>0</v>
      </c>
      <c r="W147" s="2"/>
      <c r="X147" s="7">
        <f t="shared" si="21"/>
        <v>4207.46</v>
      </c>
      <c r="Y147" s="2"/>
      <c r="Z147" s="6">
        <f t="shared" si="22"/>
        <v>0</v>
      </c>
    </row>
    <row r="148" spans="1:26" s="24" customFormat="1" hidden="1" outlineLevel="2" x14ac:dyDescent="0.25">
      <c r="A148" s="27"/>
      <c r="B148" s="11" t="str">
        <f>CONCATENATE("          ", "6118", " - ", "VACATION")</f>
        <v xml:space="preserve">          6118 - VACATION</v>
      </c>
      <c r="C148" s="11"/>
      <c r="D148" s="7">
        <v>5692.2</v>
      </c>
      <c r="E148" s="2"/>
      <c r="F148" s="6">
        <f t="shared" si="15"/>
        <v>1.4641372791904174E-2</v>
      </c>
      <c r="G148" s="2"/>
      <c r="H148" s="7">
        <v>4173.5870123076929</v>
      </c>
      <c r="I148" s="2"/>
      <c r="J148" s="6">
        <f t="shared" si="16"/>
        <v>5.3652387244376388E-3</v>
      </c>
      <c r="K148" s="2"/>
      <c r="L148" s="7">
        <f t="shared" si="17"/>
        <v>1518.6129876923069</v>
      </c>
      <c r="M148" s="2"/>
      <c r="N148" s="6">
        <f t="shared" si="18"/>
        <v>0.36386278355141405</v>
      </c>
      <c r="O148" s="11"/>
      <c r="P148" s="7">
        <v>45714.09</v>
      </c>
      <c r="Q148" s="2"/>
      <c r="R148" s="6">
        <f t="shared" si="19"/>
        <v>8.0613837845011273E-3</v>
      </c>
      <c r="S148" s="2"/>
      <c r="T148" s="7">
        <v>36303.771507692298</v>
      </c>
      <c r="U148" s="2"/>
      <c r="V148" s="6">
        <f t="shared" si="20"/>
        <v>4.0166112779697815E-3</v>
      </c>
      <c r="W148" s="2"/>
      <c r="X148" s="7">
        <f t="shared" si="21"/>
        <v>9410.3184923076988</v>
      </c>
      <c r="Y148" s="2"/>
      <c r="Z148" s="6">
        <f t="shared" si="22"/>
        <v>0.25921049250526973</v>
      </c>
    </row>
    <row r="149" spans="1:26" s="24" customFormat="1" hidden="1" outlineLevel="2" x14ac:dyDescent="0.25">
      <c r="A149" s="27"/>
      <c r="B149" s="11" t="str">
        <f>CONCATENATE("          ", "6119", " - ", "SICK LEAVE")</f>
        <v xml:space="preserve">          6119 - SICK LEAVE</v>
      </c>
      <c r="C149" s="11"/>
      <c r="D149" s="7">
        <v>4091.66</v>
      </c>
      <c r="E149" s="2"/>
      <c r="F149" s="6">
        <f t="shared" si="15"/>
        <v>1.0524493060279441E-2</v>
      </c>
      <c r="G149" s="2"/>
      <c r="H149" s="7">
        <v>4763.854070384612</v>
      </c>
      <c r="I149" s="2"/>
      <c r="J149" s="6">
        <f t="shared" si="16"/>
        <v>6.1240401267841273E-3</v>
      </c>
      <c r="K149" s="2"/>
      <c r="L149" s="7">
        <f t="shared" si="17"/>
        <v>-672.19407038461213</v>
      </c>
      <c r="M149" s="2"/>
      <c r="N149" s="6">
        <f t="shared" si="18"/>
        <v>-0.14110299359575937</v>
      </c>
      <c r="O149" s="11"/>
      <c r="P149" s="7">
        <v>33364.03</v>
      </c>
      <c r="Q149" s="2"/>
      <c r="R149" s="6">
        <f t="shared" si="19"/>
        <v>5.883530666969619E-3</v>
      </c>
      <c r="S149" s="2"/>
      <c r="T149" s="7">
        <v>40215.430577115359</v>
      </c>
      <c r="U149" s="2"/>
      <c r="V149" s="6">
        <f t="shared" si="20"/>
        <v>4.4493931428095917E-3</v>
      </c>
      <c r="W149" s="2"/>
      <c r="X149" s="7">
        <f t="shared" si="21"/>
        <v>-6851.4005771153606</v>
      </c>
      <c r="Y149" s="2"/>
      <c r="Z149" s="6">
        <f t="shared" si="22"/>
        <v>-0.17036745544667023</v>
      </c>
    </row>
    <row r="150" spans="1:26" s="24" customFormat="1" hidden="1" outlineLevel="2" x14ac:dyDescent="0.25">
      <c r="A150" s="27"/>
      <c r="B150" s="11" t="str">
        <f>CONCATENATE("          ", "6156", " - ", "EMPLOYEE MEALS")</f>
        <v xml:space="preserve">          6156 - EMPLOYEE MEALS</v>
      </c>
      <c r="C150" s="11"/>
      <c r="D150" s="7">
        <v>1383.68</v>
      </c>
      <c r="E150" s="2"/>
      <c r="F150" s="6">
        <f t="shared" si="15"/>
        <v>3.5590764036228469E-3</v>
      </c>
      <c r="G150" s="2"/>
      <c r="H150" s="7">
        <v>1800</v>
      </c>
      <c r="I150" s="2"/>
      <c r="J150" s="6">
        <f t="shared" si="16"/>
        <v>2.3139399455452798E-3</v>
      </c>
      <c r="K150" s="2"/>
      <c r="L150" s="7">
        <f t="shared" si="17"/>
        <v>-416.31999999999994</v>
      </c>
      <c r="M150" s="2"/>
      <c r="N150" s="6">
        <f t="shared" si="18"/>
        <v>-0.23128888888888885</v>
      </c>
      <c r="O150" s="11"/>
      <c r="P150" s="7">
        <v>12784.23</v>
      </c>
      <c r="Q150" s="2"/>
      <c r="R150" s="6">
        <f t="shared" si="19"/>
        <v>2.2544161858922022E-3</v>
      </c>
      <c r="S150" s="2"/>
      <c r="T150" s="7">
        <v>14400</v>
      </c>
      <c r="U150" s="2"/>
      <c r="V150" s="6">
        <f t="shared" si="20"/>
        <v>1.5932009265348498E-3</v>
      </c>
      <c r="W150" s="2"/>
      <c r="X150" s="7">
        <f t="shared" si="21"/>
        <v>-1615.7700000000004</v>
      </c>
      <c r="Y150" s="2"/>
      <c r="Z150" s="6">
        <f t="shared" si="22"/>
        <v>-0.11220625000000004</v>
      </c>
    </row>
    <row r="151" spans="1:26" s="28" customFormat="1" outlineLevel="1" collapsed="1" x14ac:dyDescent="0.25">
      <c r="A151" s="29"/>
      <c r="B151" s="14" t="str">
        <f>CONCATENATE("     ","*Payroll                                          ")</f>
        <v xml:space="preserve">     *Payroll                                          </v>
      </c>
      <c r="C151" s="14"/>
      <c r="D151" s="1">
        <f>SUM(OSRRefD22_1x_0)</f>
        <v>119631.72000000002</v>
      </c>
      <c r="E151" s="1"/>
      <c r="F151" s="5">
        <f t="shared" ref="F151:F161" si="23">IF(D$12=0,0,D151/D$12)</f>
        <v>0.3077145234279714</v>
      </c>
      <c r="G151" s="1"/>
      <c r="H151" s="1">
        <f>SUM(OSRRefH22_1x_0)</f>
        <v>170381.3529436923</v>
      </c>
      <c r="I151" s="1"/>
      <c r="J151" s="5">
        <f t="shared" ref="J151:J161" si="24">IF(H$12=0,0,H151/H$12)</f>
        <v>0.21902901030692137</v>
      </c>
      <c r="K151" s="1"/>
      <c r="L151" s="1">
        <f t="shared" ref="L151:L161" si="25">+D151-H151</f>
        <v>-50749.632943692282</v>
      </c>
      <c r="M151" s="1"/>
      <c r="N151" s="5">
        <f t="shared" ref="N151:N161" si="26">IF(H151=0,0,L151/H151)</f>
        <v>-0.29785907945257389</v>
      </c>
      <c r="O151" s="14"/>
      <c r="P151" s="1">
        <f>SUM(OSRRefP22_1x_0)</f>
        <v>1072060.8400000001</v>
      </c>
      <c r="Q151" s="1"/>
      <c r="R151" s="5">
        <f t="shared" ref="R151:R161" si="27">IF(P$12=0,0,P151/P$12)</f>
        <v>0.18905098781523727</v>
      </c>
      <c r="S151" s="1"/>
      <c r="T151" s="1">
        <f>SUM(OSRRefT22_1x_0)</f>
        <v>1433802.9315023078</v>
      </c>
      <c r="U151" s="1"/>
      <c r="V151" s="5">
        <f t="shared" ref="V151:V161" si="28">IF(T$12=0,0,T151/T$12)</f>
        <v>0.15863445548179589</v>
      </c>
      <c r="W151" s="1"/>
      <c r="X151" s="1">
        <f t="shared" ref="X151:X161" si="29">+P151-T151</f>
        <v>-361742.09150230768</v>
      </c>
      <c r="Y151" s="1"/>
      <c r="Z151" s="5">
        <f t="shared" ref="Z151:Z161" si="30">IF(T151=0,0,X151/T151)</f>
        <v>-0.25229554463477216</v>
      </c>
    </row>
    <row r="152" spans="1:26" s="24" customFormat="1" hidden="1" outlineLevel="2" x14ac:dyDescent="0.25">
      <c r="A152" s="27"/>
      <c r="B152" s="11" t="str">
        <f>CONCATENATE("          ", "6001", " - ", "ADMINISTRATIVE SALARIES")</f>
        <v xml:space="preserve">          6001 - ADMINISTRATIVE SALARIES</v>
      </c>
      <c r="C152" s="11"/>
      <c r="D152" s="7">
        <v>4280.74</v>
      </c>
      <c r="E152" s="2"/>
      <c r="F152" s="6">
        <f t="shared" si="23"/>
        <v>1.1010841180073764E-2</v>
      </c>
      <c r="G152" s="2"/>
      <c r="H152" s="7">
        <v>7759.6923076923094</v>
      </c>
      <c r="I152" s="2"/>
      <c r="J152" s="6">
        <f t="shared" si="24"/>
        <v>9.9752566643942619E-3</v>
      </c>
      <c r="K152" s="2"/>
      <c r="L152" s="7">
        <f t="shared" si="25"/>
        <v>-3478.9523076923097</v>
      </c>
      <c r="M152" s="2"/>
      <c r="N152" s="6">
        <f t="shared" si="26"/>
        <v>-0.44833637336928522</v>
      </c>
      <c r="O152" s="11"/>
      <c r="P152" s="7">
        <v>34496.590000000004</v>
      </c>
      <c r="Q152" s="2"/>
      <c r="R152" s="6">
        <f t="shared" si="27"/>
        <v>6.0832502899343249E-3</v>
      </c>
      <c r="S152" s="2"/>
      <c r="T152" s="7">
        <v>67897.307692307717</v>
      </c>
      <c r="U152" s="2"/>
      <c r="V152" s="6">
        <f t="shared" si="28"/>
        <v>7.5120870503198921E-3</v>
      </c>
      <c r="W152" s="2"/>
      <c r="X152" s="7">
        <f t="shared" si="29"/>
        <v>-33400.717692307713</v>
      </c>
      <c r="Y152" s="2"/>
      <c r="Z152" s="6">
        <f t="shared" si="30"/>
        <v>-0.4919299281154233</v>
      </c>
    </row>
    <row r="153" spans="1:26" s="24" customFormat="1" hidden="1" outlineLevel="2" x14ac:dyDescent="0.25">
      <c r="A153" s="27"/>
      <c r="B153" s="11" t="str">
        <f>CONCATENATE("          ", "6002", " - ", "STAFF SALARIES")</f>
        <v xml:space="preserve">          6002 - STAFF SALARIES</v>
      </c>
      <c r="C153" s="11"/>
      <c r="D153" s="7">
        <v>62628.89</v>
      </c>
      <c r="E153" s="2"/>
      <c r="F153" s="6">
        <f t="shared" si="23"/>
        <v>0.16109288606042646</v>
      </c>
      <c r="G153" s="2"/>
      <c r="H153" s="7">
        <v>43867.483056000005</v>
      </c>
      <c r="I153" s="2"/>
      <c r="J153" s="6">
        <f t="shared" si="24"/>
        <v>5.6392622974338412E-2</v>
      </c>
      <c r="K153" s="2"/>
      <c r="L153" s="7">
        <f t="shared" si="25"/>
        <v>18761.406943999995</v>
      </c>
      <c r="M153" s="2"/>
      <c r="N153" s="6">
        <f t="shared" si="26"/>
        <v>0.42768368816714891</v>
      </c>
      <c r="O153" s="11"/>
      <c r="P153" s="7">
        <v>493547.99</v>
      </c>
      <c r="Q153" s="2"/>
      <c r="R153" s="6">
        <f t="shared" si="27"/>
        <v>8.7033992439948499E-2</v>
      </c>
      <c r="S153" s="2"/>
      <c r="T153" s="7">
        <v>380642.32944000023</v>
      </c>
      <c r="U153" s="2"/>
      <c r="V153" s="6">
        <f t="shared" si="28"/>
        <v>4.2113868884874443E-2</v>
      </c>
      <c r="W153" s="2"/>
      <c r="X153" s="7">
        <f t="shared" si="29"/>
        <v>112905.66055999976</v>
      </c>
      <c r="Y153" s="2"/>
      <c r="Z153" s="6">
        <f t="shared" si="30"/>
        <v>0.29661877260499692</v>
      </c>
    </row>
    <row r="154" spans="1:26" s="24" customFormat="1" hidden="1" outlineLevel="2" x14ac:dyDescent="0.25">
      <c r="A154" s="27"/>
      <c r="B154" s="11" t="str">
        <f>CONCATENATE("          ", "6003", " - ", "STAFF HOURLY-9 MONTH")</f>
        <v xml:space="preserve">          6003 - STAFF HOURLY-9 MONTH</v>
      </c>
      <c r="C154" s="11"/>
      <c r="D154" s="7"/>
      <c r="E154" s="2"/>
      <c r="F154" s="6">
        <f t="shared" si="23"/>
        <v>0</v>
      </c>
      <c r="G154" s="2"/>
      <c r="H154" s="7">
        <v>0</v>
      </c>
      <c r="I154" s="2"/>
      <c r="J154" s="6">
        <f t="shared" si="24"/>
        <v>0</v>
      </c>
      <c r="K154" s="2"/>
      <c r="L154" s="7">
        <f t="shared" si="25"/>
        <v>0</v>
      </c>
      <c r="M154" s="2"/>
      <c r="N154" s="6">
        <f t="shared" si="26"/>
        <v>0</v>
      </c>
      <c r="O154" s="11"/>
      <c r="P154" s="7"/>
      <c r="Q154" s="2"/>
      <c r="R154" s="6">
        <f t="shared" si="27"/>
        <v>0</v>
      </c>
      <c r="S154" s="2"/>
      <c r="T154" s="7">
        <v>0</v>
      </c>
      <c r="U154" s="2"/>
      <c r="V154" s="6">
        <f t="shared" si="28"/>
        <v>0</v>
      </c>
      <c r="W154" s="2"/>
      <c r="X154" s="7">
        <f t="shared" si="29"/>
        <v>0</v>
      </c>
      <c r="Y154" s="2"/>
      <c r="Z154" s="6">
        <f t="shared" si="30"/>
        <v>0</v>
      </c>
    </row>
    <row r="155" spans="1:26" s="24" customFormat="1" hidden="1" outlineLevel="2" x14ac:dyDescent="0.25">
      <c r="A155" s="27"/>
      <c r="B155" s="11" t="str">
        <f>CONCATENATE("          ", "6004", " - ", "STAFF HOURLY")</f>
        <v xml:space="preserve">          6004 - STAFF HOURLY</v>
      </c>
      <c r="C155" s="11"/>
      <c r="D155" s="7">
        <v>19090.79</v>
      </c>
      <c r="E155" s="2"/>
      <c r="F155" s="6">
        <f t="shared" si="23"/>
        <v>4.9104981076201877E-2</v>
      </c>
      <c r="G155" s="2"/>
      <c r="H155" s="7">
        <v>30489.380080000003</v>
      </c>
      <c r="I155" s="2"/>
      <c r="J155" s="6">
        <f t="shared" si="24"/>
        <v>3.9194774712235862E-2</v>
      </c>
      <c r="K155" s="2"/>
      <c r="L155" s="7">
        <f t="shared" si="25"/>
        <v>-11398.590080000002</v>
      </c>
      <c r="M155" s="2"/>
      <c r="N155" s="6">
        <f t="shared" si="26"/>
        <v>-0.37385443882727842</v>
      </c>
      <c r="O155" s="11"/>
      <c r="P155" s="7">
        <v>153792.59</v>
      </c>
      <c r="Q155" s="2"/>
      <c r="R155" s="6">
        <f t="shared" si="27"/>
        <v>2.7120327478955184E-2</v>
      </c>
      <c r="S155" s="2"/>
      <c r="T155" s="7">
        <v>247560.46069999997</v>
      </c>
      <c r="U155" s="2"/>
      <c r="V155" s="6">
        <f t="shared" si="28"/>
        <v>2.738983023337738E-2</v>
      </c>
      <c r="W155" s="2"/>
      <c r="X155" s="7">
        <f t="shared" si="29"/>
        <v>-93767.87069999997</v>
      </c>
      <c r="Y155" s="2"/>
      <c r="Z155" s="6">
        <f t="shared" si="30"/>
        <v>-0.3787675561552224</v>
      </c>
    </row>
    <row r="156" spans="1:26" s="24" customFormat="1" hidden="1" outlineLevel="2" x14ac:dyDescent="0.25">
      <c r="A156" s="27"/>
      <c r="B156" s="11" t="str">
        <f>CONCATENATE("          ", "6005", " - ", "TEMPORARY WAGES-HOURLY")</f>
        <v xml:space="preserve">          6005 - TEMPORARY WAGES-HOURLY</v>
      </c>
      <c r="C156" s="11"/>
      <c r="D156" s="7">
        <v>12213.85</v>
      </c>
      <c r="E156" s="2"/>
      <c r="F156" s="6">
        <f t="shared" si="23"/>
        <v>3.1416241712237593E-2</v>
      </c>
      <c r="G156" s="2"/>
      <c r="H156" s="7">
        <v>5826.56</v>
      </c>
      <c r="I156" s="2"/>
      <c r="J156" s="6">
        <f t="shared" si="24"/>
        <v>7.4901721828423929E-3</v>
      </c>
      <c r="K156" s="2"/>
      <c r="L156" s="7">
        <f t="shared" si="25"/>
        <v>6387.29</v>
      </c>
      <c r="M156" s="2"/>
      <c r="N156" s="6">
        <f t="shared" si="26"/>
        <v>1.09623688763181</v>
      </c>
      <c r="O156" s="11"/>
      <c r="P156" s="7">
        <v>122408.07</v>
      </c>
      <c r="Q156" s="2"/>
      <c r="R156" s="6">
        <f t="shared" si="27"/>
        <v>2.1585870583666417E-2</v>
      </c>
      <c r="S156" s="2"/>
      <c r="T156" s="7">
        <v>34089.440000000002</v>
      </c>
      <c r="U156" s="2"/>
      <c r="V156" s="6">
        <f t="shared" si="28"/>
        <v>3.7716199578509847E-3</v>
      </c>
      <c r="W156" s="2"/>
      <c r="X156" s="7">
        <f t="shared" si="29"/>
        <v>88318.63</v>
      </c>
      <c r="Y156" s="2"/>
      <c r="Z156" s="6">
        <f t="shared" si="30"/>
        <v>2.5907914591732806</v>
      </c>
    </row>
    <row r="157" spans="1:26" s="24" customFormat="1" hidden="1" outlineLevel="2" x14ac:dyDescent="0.25">
      <c r="A157" s="27"/>
      <c r="B157" s="11" t="str">
        <f>CONCATENATE("          ", "6006", " - ", "TEMPORARY PART TIME")</f>
        <v xml:space="preserve">          6006 - TEMPORARY PART TIME</v>
      </c>
      <c r="C157" s="11"/>
      <c r="D157" s="7">
        <v>2042.44</v>
      </c>
      <c r="E157" s="2"/>
      <c r="F157" s="6">
        <f t="shared" si="23"/>
        <v>5.253526834105752E-3</v>
      </c>
      <c r="G157" s="2"/>
      <c r="H157" s="7">
        <v>0</v>
      </c>
      <c r="I157" s="2"/>
      <c r="J157" s="6">
        <f t="shared" si="24"/>
        <v>0</v>
      </c>
      <c r="K157" s="2"/>
      <c r="L157" s="7">
        <f t="shared" si="25"/>
        <v>2042.44</v>
      </c>
      <c r="M157" s="2"/>
      <c r="N157" s="6">
        <f t="shared" si="26"/>
        <v>0</v>
      </c>
      <c r="O157" s="11"/>
      <c r="P157" s="7">
        <v>12030.4</v>
      </c>
      <c r="Q157" s="2"/>
      <c r="R157" s="6">
        <f t="shared" si="27"/>
        <v>2.1214831462479595E-3</v>
      </c>
      <c r="S157" s="2"/>
      <c r="T157" s="7">
        <v>0</v>
      </c>
      <c r="U157" s="2"/>
      <c r="V157" s="6">
        <f t="shared" si="28"/>
        <v>0</v>
      </c>
      <c r="W157" s="2"/>
      <c r="X157" s="7">
        <f t="shared" si="29"/>
        <v>12030.4</v>
      </c>
      <c r="Y157" s="2"/>
      <c r="Z157" s="6">
        <f t="shared" si="30"/>
        <v>0</v>
      </c>
    </row>
    <row r="158" spans="1:26" s="24" customFormat="1" hidden="1" outlineLevel="2" x14ac:dyDescent="0.25">
      <c r="A158" s="27"/>
      <c r="B158" s="11" t="str">
        <f>CONCATENATE("          ", "6007", " - ", "STUDENT HOURLY")</f>
        <v xml:space="preserve">          6007 - STUDENT HOURLY</v>
      </c>
      <c r="C158" s="11"/>
      <c r="D158" s="7">
        <v>18251.09</v>
      </c>
      <c r="E158" s="2"/>
      <c r="F158" s="6">
        <f t="shared" si="23"/>
        <v>4.6945120085133053E-2</v>
      </c>
      <c r="G158" s="2"/>
      <c r="H158" s="7">
        <v>0</v>
      </c>
      <c r="I158" s="2"/>
      <c r="J158" s="6">
        <f t="shared" si="24"/>
        <v>0</v>
      </c>
      <c r="K158" s="2"/>
      <c r="L158" s="7">
        <f t="shared" si="25"/>
        <v>18251.09</v>
      </c>
      <c r="M158" s="2"/>
      <c r="N158" s="6">
        <f t="shared" si="26"/>
        <v>0</v>
      </c>
      <c r="O158" s="11"/>
      <c r="P158" s="7">
        <v>248485.94999999998</v>
      </c>
      <c r="Q158" s="2"/>
      <c r="R158" s="6">
        <f t="shared" si="27"/>
        <v>4.3818888399755042E-2</v>
      </c>
      <c r="S158" s="2"/>
      <c r="T158" s="7">
        <v>157314.8425</v>
      </c>
      <c r="U158" s="2"/>
      <c r="V158" s="6">
        <f t="shared" si="28"/>
        <v>1.7405149501991943E-2</v>
      </c>
      <c r="W158" s="2"/>
      <c r="X158" s="7">
        <f t="shared" si="29"/>
        <v>91171.107499999984</v>
      </c>
      <c r="Y158" s="2"/>
      <c r="Z158" s="6">
        <f t="shared" si="30"/>
        <v>0.57954549012118795</v>
      </c>
    </row>
    <row r="159" spans="1:26" s="24" customFormat="1" hidden="1" outlineLevel="2" x14ac:dyDescent="0.25">
      <c r="A159" s="27"/>
      <c r="B159" s="11" t="str">
        <f>CONCATENATE("          ", "6008", " - ", "STUDENT HOURLY-FICA EXEMPT")</f>
        <v xml:space="preserve">          6008 - STUDENT HOURLY-FICA EXEMPT</v>
      </c>
      <c r="C159" s="11"/>
      <c r="D159" s="7">
        <v>1123.92</v>
      </c>
      <c r="E159" s="2"/>
      <c r="F159" s="6">
        <f t="shared" si="23"/>
        <v>2.8909264797928641E-3</v>
      </c>
      <c r="G159" s="2"/>
      <c r="H159" s="7">
        <v>82438.237500000003</v>
      </c>
      <c r="I159" s="2"/>
      <c r="J159" s="6">
        <f t="shared" si="24"/>
        <v>0.10597618377311048</v>
      </c>
      <c r="K159" s="2"/>
      <c r="L159" s="7">
        <f t="shared" si="25"/>
        <v>-81314.317500000005</v>
      </c>
      <c r="M159" s="2"/>
      <c r="N159" s="6">
        <f t="shared" si="26"/>
        <v>-0.98636652075440112</v>
      </c>
      <c r="O159" s="11"/>
      <c r="P159" s="7">
        <v>7299.25</v>
      </c>
      <c r="Q159" s="2"/>
      <c r="R159" s="6">
        <f t="shared" si="27"/>
        <v>1.2871754767298192E-3</v>
      </c>
      <c r="S159" s="2"/>
      <c r="T159" s="7">
        <v>546298.55116999999</v>
      </c>
      <c r="U159" s="2"/>
      <c r="V159" s="6">
        <f t="shared" si="28"/>
        <v>6.0441899853381255E-2</v>
      </c>
      <c r="W159" s="2"/>
      <c r="X159" s="7">
        <f t="shared" si="29"/>
        <v>-538999.30116999999</v>
      </c>
      <c r="Y159" s="2"/>
      <c r="Z159" s="6">
        <f t="shared" si="30"/>
        <v>-0.98663871616652232</v>
      </c>
    </row>
    <row r="160" spans="1:26" s="24" customFormat="1" hidden="1" outlineLevel="2" x14ac:dyDescent="0.25">
      <c r="A160" s="27"/>
      <c r="B160" s="11" t="str">
        <f>CONCATENATE("          ", "6009", " - ", "TEMPORARY-SEASONAL")</f>
        <v xml:space="preserve">          6009 - TEMPORARY-SEASONAL</v>
      </c>
      <c r="C160" s="11"/>
      <c r="D160" s="7"/>
      <c r="E160" s="2"/>
      <c r="F160" s="6">
        <f t="shared" si="23"/>
        <v>0</v>
      </c>
      <c r="G160" s="2"/>
      <c r="H160" s="7">
        <v>0</v>
      </c>
      <c r="I160" s="2"/>
      <c r="J160" s="6">
        <f t="shared" si="24"/>
        <v>0</v>
      </c>
      <c r="K160" s="2"/>
      <c r="L160" s="7">
        <f t="shared" si="25"/>
        <v>0</v>
      </c>
      <c r="M160" s="2"/>
      <c r="N160" s="6">
        <f t="shared" si="26"/>
        <v>0</v>
      </c>
      <c r="O160" s="11"/>
      <c r="P160" s="7"/>
      <c r="Q160" s="2"/>
      <c r="R160" s="6">
        <f t="shared" si="27"/>
        <v>0</v>
      </c>
      <c r="S160" s="2"/>
      <c r="T160" s="7">
        <v>0</v>
      </c>
      <c r="U160" s="2"/>
      <c r="V160" s="6">
        <f t="shared" si="28"/>
        <v>0</v>
      </c>
      <c r="W160" s="2"/>
      <c r="X160" s="7">
        <f t="shared" si="29"/>
        <v>0</v>
      </c>
      <c r="Y160" s="2"/>
      <c r="Z160" s="6">
        <f t="shared" si="30"/>
        <v>0</v>
      </c>
    </row>
    <row r="161" spans="1:26" s="24" customFormat="1" hidden="1" outlineLevel="2" x14ac:dyDescent="0.25">
      <c r="A161" s="27"/>
      <c r="B161" s="11" t="str">
        <f>CONCATENATE("          ", "6010", " - ", "GRATUITY")</f>
        <v xml:space="preserve">          6010 - GRATUITY</v>
      </c>
      <c r="C161" s="11"/>
      <c r="D161" s="7"/>
      <c r="E161" s="2"/>
      <c r="F161" s="6">
        <f t="shared" si="23"/>
        <v>0</v>
      </c>
      <c r="G161" s="2"/>
      <c r="H161" s="7">
        <v>0</v>
      </c>
      <c r="I161" s="2"/>
      <c r="J161" s="6">
        <f t="shared" si="24"/>
        <v>0</v>
      </c>
      <c r="K161" s="2"/>
      <c r="L161" s="7">
        <f t="shared" si="25"/>
        <v>0</v>
      </c>
      <c r="M161" s="2"/>
      <c r="N161" s="6">
        <f t="shared" si="26"/>
        <v>0</v>
      </c>
      <c r="O161" s="11"/>
      <c r="P161" s="7"/>
      <c r="Q161" s="2"/>
      <c r="R161" s="6">
        <f t="shared" si="27"/>
        <v>0</v>
      </c>
      <c r="S161" s="2"/>
      <c r="T161" s="7">
        <v>0</v>
      </c>
      <c r="U161" s="2"/>
      <c r="V161" s="6">
        <f t="shared" si="28"/>
        <v>0</v>
      </c>
      <c r="W161" s="2"/>
      <c r="X161" s="7">
        <f t="shared" si="29"/>
        <v>0</v>
      </c>
      <c r="Y161" s="2"/>
      <c r="Z161" s="6">
        <f t="shared" si="30"/>
        <v>0</v>
      </c>
    </row>
    <row r="162" spans="1:26" s="28" customFormat="1" outlineLevel="1" collapsed="1" x14ac:dyDescent="0.25">
      <c r="A162" s="29"/>
      <c r="B162" s="14" t="str">
        <f>CONCATENATE("     ","Advertising/Promo                                 ")</f>
        <v xml:space="preserve">     Advertising/Promo                                 </v>
      </c>
      <c r="C162" s="14"/>
      <c r="D162" s="1">
        <f>SUM(OSRRefD22_2x_0)</f>
        <v>114.65</v>
      </c>
      <c r="E162" s="1"/>
      <c r="F162" s="5">
        <f t="shared" ref="F162:F166" si="31">IF(D$12=0,0,D162/D$12)</f>
        <v>2.9490063430515686E-4</v>
      </c>
      <c r="G162" s="1"/>
      <c r="H162" s="1">
        <f>SUM(OSRRefH22_2x_0)</f>
        <v>1080</v>
      </c>
      <c r="I162" s="1"/>
      <c r="J162" s="5">
        <f t="shared" ref="J162:J166" si="32">IF(H$12=0,0,H162/H$12)</f>
        <v>1.3883639673271679E-3</v>
      </c>
      <c r="K162" s="1"/>
      <c r="L162" s="1">
        <f t="shared" ref="L162:L166" si="33">+D162-H162</f>
        <v>-965.35</v>
      </c>
      <c r="M162" s="1"/>
      <c r="N162" s="5">
        <f t="shared" ref="N162:N166" si="34">IF(H162=0,0,L162/H162)</f>
        <v>-0.89384259259259258</v>
      </c>
      <c r="O162" s="14"/>
      <c r="P162" s="1">
        <f>SUM(OSRRefP22_2x_0)</f>
        <v>16747.72</v>
      </c>
      <c r="Q162" s="1"/>
      <c r="R162" s="5">
        <f t="shared" ref="R162:R166" si="35">IF(P$12=0,0,P162/P$12)</f>
        <v>2.9533519848117997E-3</v>
      </c>
      <c r="S162" s="1"/>
      <c r="T162" s="1">
        <f>SUM(OSRRefT22_2x_0)</f>
        <v>10940</v>
      </c>
      <c r="U162" s="1"/>
      <c r="V162" s="5">
        <f t="shared" ref="V162:V166" si="36">IF(T$12=0,0,T162/T$12)</f>
        <v>1.2103901483535597E-3</v>
      </c>
      <c r="W162" s="1"/>
      <c r="X162" s="1">
        <f t="shared" ref="X162:X166" si="37">+P162-T162</f>
        <v>5807.7200000000012</v>
      </c>
      <c r="Y162" s="1"/>
      <c r="Z162" s="5">
        <f t="shared" ref="Z162:Z166" si="38">IF(T162=0,0,X162/T162)</f>
        <v>0.5308702010968922</v>
      </c>
    </row>
    <row r="163" spans="1:26" s="24" customFormat="1" hidden="1" outlineLevel="2" x14ac:dyDescent="0.25">
      <c r="A163" s="27"/>
      <c r="B163" s="11" t="str">
        <f>CONCATENATE("          ", "6362", " - ", "ADVERTISING EXPENSE")</f>
        <v xml:space="preserve">          6362 - ADVERTISING EXPENSE</v>
      </c>
      <c r="C163" s="11"/>
      <c r="D163" s="7">
        <v>114.65</v>
      </c>
      <c r="E163" s="2"/>
      <c r="F163" s="6">
        <f t="shared" si="31"/>
        <v>2.9490063430515686E-4</v>
      </c>
      <c r="G163" s="2"/>
      <c r="H163" s="7">
        <v>1080</v>
      </c>
      <c r="I163" s="2"/>
      <c r="J163" s="6">
        <f t="shared" si="32"/>
        <v>1.3883639673271679E-3</v>
      </c>
      <c r="K163" s="2"/>
      <c r="L163" s="7">
        <f t="shared" si="33"/>
        <v>-965.35</v>
      </c>
      <c r="M163" s="2"/>
      <c r="N163" s="6">
        <f t="shared" si="34"/>
        <v>-0.89384259259259258</v>
      </c>
      <c r="O163" s="11"/>
      <c r="P163" s="7">
        <v>16747.72</v>
      </c>
      <c r="Q163" s="2"/>
      <c r="R163" s="6">
        <f t="shared" si="35"/>
        <v>2.9533519848117997E-3</v>
      </c>
      <c r="S163" s="2"/>
      <c r="T163" s="7">
        <v>10940</v>
      </c>
      <c r="U163" s="2"/>
      <c r="V163" s="6">
        <f t="shared" si="36"/>
        <v>1.2103901483535597E-3</v>
      </c>
      <c r="W163" s="2"/>
      <c r="X163" s="7">
        <f t="shared" si="37"/>
        <v>5807.7200000000012</v>
      </c>
      <c r="Y163" s="2"/>
      <c r="Z163" s="6">
        <f t="shared" si="38"/>
        <v>0.5308702010968922</v>
      </c>
    </row>
    <row r="164" spans="1:26" s="28" customFormat="1" outlineLevel="1" collapsed="1" x14ac:dyDescent="0.25">
      <c r="A164" s="29"/>
      <c r="B164" s="14" t="str">
        <f>CONCATENATE("     ","Bad Debts/Over/Short                              ")</f>
        <v xml:space="preserve">     Bad Debts/Over/Short                              </v>
      </c>
      <c r="C164" s="14"/>
      <c r="D164" s="1">
        <f>SUM(OSRRefD22_3x_0)</f>
        <v>3282.4</v>
      </c>
      <c r="E164" s="1"/>
      <c r="F164" s="5">
        <f t="shared" si="31"/>
        <v>8.4429292807958727E-3</v>
      </c>
      <c r="G164" s="1"/>
      <c r="H164" s="1">
        <f>SUM(OSRRefH22_3x_0)</f>
        <v>110</v>
      </c>
      <c r="I164" s="1"/>
      <c r="J164" s="5">
        <f t="shared" si="32"/>
        <v>1.41407441116656E-4</v>
      </c>
      <c r="K164" s="1"/>
      <c r="L164" s="1">
        <f t="shared" si="33"/>
        <v>3172.4</v>
      </c>
      <c r="M164" s="1"/>
      <c r="N164" s="5">
        <f t="shared" si="34"/>
        <v>28.84</v>
      </c>
      <c r="O164" s="14"/>
      <c r="P164" s="1">
        <f>SUM(OSRRefP22_3x_0)</f>
        <v>5200.46</v>
      </c>
      <c r="Q164" s="1"/>
      <c r="R164" s="5">
        <f t="shared" si="35"/>
        <v>9.1706744935635251E-4</v>
      </c>
      <c r="S164" s="1"/>
      <c r="T164" s="1">
        <f>SUM(OSRRefT22_3x_0)</f>
        <v>880</v>
      </c>
      <c r="U164" s="1"/>
      <c r="V164" s="5">
        <f t="shared" si="36"/>
        <v>9.7362278843796381E-5</v>
      </c>
      <c r="W164" s="1"/>
      <c r="X164" s="1">
        <f t="shared" si="37"/>
        <v>4320.46</v>
      </c>
      <c r="Y164" s="1"/>
      <c r="Z164" s="5">
        <f t="shared" si="38"/>
        <v>4.9096136363636367</v>
      </c>
    </row>
    <row r="165" spans="1:26" s="24" customFormat="1" hidden="1" outlineLevel="2" x14ac:dyDescent="0.25">
      <c r="A165" s="27"/>
      <c r="B165" s="11" t="str">
        <f>CONCATENATE("          ", "6272", " - ", "CASH (OVER/SHORT)")</f>
        <v xml:space="preserve">          6272 - CASH (OVER/SHORT)</v>
      </c>
      <c r="C165" s="11"/>
      <c r="D165" s="7">
        <v>-70.239999999999995</v>
      </c>
      <c r="E165" s="2"/>
      <c r="F165" s="6">
        <f t="shared" si="31"/>
        <v>-1.8067004407844932E-4</v>
      </c>
      <c r="G165" s="2"/>
      <c r="H165" s="7">
        <v>60</v>
      </c>
      <c r="I165" s="2"/>
      <c r="J165" s="6">
        <f t="shared" si="32"/>
        <v>7.7131331518175993E-5</v>
      </c>
      <c r="K165" s="2"/>
      <c r="L165" s="7">
        <f t="shared" si="33"/>
        <v>-130.24</v>
      </c>
      <c r="M165" s="2"/>
      <c r="N165" s="6">
        <f t="shared" si="34"/>
        <v>-2.170666666666667</v>
      </c>
      <c r="O165" s="11"/>
      <c r="P165" s="7">
        <v>-148.96</v>
      </c>
      <c r="Q165" s="2"/>
      <c r="R165" s="6">
        <f t="shared" si="35"/>
        <v>-2.6268131522235008E-5</v>
      </c>
      <c r="S165" s="2"/>
      <c r="T165" s="7">
        <v>480</v>
      </c>
      <c r="U165" s="2"/>
      <c r="V165" s="6">
        <f t="shared" si="36"/>
        <v>5.3106697551161665E-5</v>
      </c>
      <c r="W165" s="2"/>
      <c r="X165" s="7">
        <f t="shared" si="37"/>
        <v>-628.96</v>
      </c>
      <c r="Y165" s="2"/>
      <c r="Z165" s="6">
        <f t="shared" si="38"/>
        <v>-1.3103333333333333</v>
      </c>
    </row>
    <row r="166" spans="1:26" s="24" customFormat="1" hidden="1" outlineLevel="2" x14ac:dyDescent="0.25">
      <c r="A166" s="27"/>
      <c r="B166" s="11" t="str">
        <f>CONCATENATE("          ", "6342", " - ", "BAD DEBT")</f>
        <v xml:space="preserve">          6342 - BAD DEBT</v>
      </c>
      <c r="C166" s="11"/>
      <c r="D166" s="7">
        <v>3352.64</v>
      </c>
      <c r="E166" s="2"/>
      <c r="F166" s="6">
        <f t="shared" si="31"/>
        <v>8.623599324874321E-3</v>
      </c>
      <c r="G166" s="2"/>
      <c r="H166" s="7">
        <v>50</v>
      </c>
      <c r="I166" s="2"/>
      <c r="J166" s="6">
        <f t="shared" si="32"/>
        <v>6.4276109598479996E-5</v>
      </c>
      <c r="K166" s="2"/>
      <c r="L166" s="7">
        <f t="shared" si="33"/>
        <v>3302.64</v>
      </c>
      <c r="M166" s="2"/>
      <c r="N166" s="6">
        <f t="shared" si="34"/>
        <v>66.052799999999991</v>
      </c>
      <c r="O166" s="11"/>
      <c r="P166" s="7">
        <v>5349.42</v>
      </c>
      <c r="Q166" s="2"/>
      <c r="R166" s="6">
        <f t="shared" si="35"/>
        <v>9.4333558087858753E-4</v>
      </c>
      <c r="S166" s="2"/>
      <c r="T166" s="7">
        <v>400</v>
      </c>
      <c r="U166" s="2"/>
      <c r="V166" s="6">
        <f t="shared" si="36"/>
        <v>4.4255581292634723E-5</v>
      </c>
      <c r="W166" s="2"/>
      <c r="X166" s="7">
        <f t="shared" si="37"/>
        <v>4949.42</v>
      </c>
      <c r="Y166" s="2"/>
      <c r="Z166" s="6">
        <f t="shared" si="38"/>
        <v>12.37355</v>
      </c>
    </row>
    <row r="167" spans="1:26" s="28" customFormat="1" outlineLevel="1" collapsed="1" x14ac:dyDescent="0.25">
      <c r="A167" s="29"/>
      <c r="B167" s="14" t="str">
        <f>CONCATENATE("     ","Bank/card Fees                                    ")</f>
        <v xml:space="preserve">     Bank/card Fees                                    </v>
      </c>
      <c r="C167" s="14"/>
      <c r="D167" s="1">
        <f>SUM(OSRRefD22_4x_0)</f>
        <v>3756.42</v>
      </c>
      <c r="E167" s="1"/>
      <c r="F167" s="5">
        <f t="shared" ref="F167:F171" si="39">IF(D$12=0,0,D167/D$12)</f>
        <v>9.6621948601533121E-3</v>
      </c>
      <c r="G167" s="1"/>
      <c r="H167" s="1">
        <f>SUM(OSRRefH22_4x_0)</f>
        <v>14780</v>
      </c>
      <c r="I167" s="1"/>
      <c r="J167" s="5">
        <f t="shared" ref="J167:J171" si="40">IF(H$12=0,0,H167/H$12)</f>
        <v>1.9000017997310686E-2</v>
      </c>
      <c r="K167" s="1"/>
      <c r="L167" s="1">
        <f t="shared" ref="L167:L171" si="41">+D167-H167</f>
        <v>-11023.58</v>
      </c>
      <c r="M167" s="1"/>
      <c r="N167" s="5">
        <f t="shared" ref="N167:N171" si="42">IF(H167=0,0,L167/H167)</f>
        <v>-0.74584438430311228</v>
      </c>
      <c r="O167" s="14"/>
      <c r="P167" s="1">
        <f>SUM(OSRRefP22_4x_0)</f>
        <v>65501.080000000009</v>
      </c>
      <c r="Q167" s="1"/>
      <c r="R167" s="5">
        <f t="shared" ref="R167:R171" si="43">IF(P$12=0,0,P167/P$12)</f>
        <v>1.1550691355319798E-2</v>
      </c>
      <c r="S167" s="1"/>
      <c r="T167" s="1">
        <f>SUM(OSRRefT22_4x_0)</f>
        <v>152358</v>
      </c>
      <c r="U167" s="1"/>
      <c r="V167" s="5">
        <f t="shared" ref="V167:V171" si="44">IF(T$12=0,0,T167/T$12)</f>
        <v>1.6856729636458102E-2</v>
      </c>
      <c r="W167" s="1"/>
      <c r="X167" s="1">
        <f t="shared" ref="X167:X171" si="45">+P167-T167</f>
        <v>-86856.919999999984</v>
      </c>
      <c r="Y167" s="1"/>
      <c r="Z167" s="5">
        <f t="shared" ref="Z167:Z171" si="46">IF(T167=0,0,X167/T167)</f>
        <v>-0.57008440646372349</v>
      </c>
    </row>
    <row r="168" spans="1:26" s="24" customFormat="1" hidden="1" outlineLevel="2" x14ac:dyDescent="0.25">
      <c r="A168" s="27"/>
      <c r="B168" s="11" t="str">
        <f>CONCATENATE("          ", "6381", " - ", "BANK/CREDIT CARD FEES")</f>
        <v xml:space="preserve">          6381 - BANK/CREDIT CARD FEES</v>
      </c>
      <c r="C168" s="11"/>
      <c r="D168" s="7">
        <v>3756.42</v>
      </c>
      <c r="E168" s="2"/>
      <c r="F168" s="6">
        <f t="shared" si="39"/>
        <v>9.6621948601533121E-3</v>
      </c>
      <c r="G168" s="2"/>
      <c r="H168" s="7">
        <v>14780</v>
      </c>
      <c r="I168" s="2"/>
      <c r="J168" s="6">
        <f t="shared" si="40"/>
        <v>1.9000017997310686E-2</v>
      </c>
      <c r="K168" s="2"/>
      <c r="L168" s="7">
        <f t="shared" si="41"/>
        <v>-11023.58</v>
      </c>
      <c r="M168" s="2"/>
      <c r="N168" s="6">
        <f t="shared" si="42"/>
        <v>-0.74584438430311228</v>
      </c>
      <c r="O168" s="11"/>
      <c r="P168" s="7">
        <v>65501.080000000009</v>
      </c>
      <c r="Q168" s="2"/>
      <c r="R168" s="6">
        <f t="shared" si="43"/>
        <v>1.1550691355319798E-2</v>
      </c>
      <c r="S168" s="2"/>
      <c r="T168" s="7">
        <v>152358</v>
      </c>
      <c r="U168" s="2"/>
      <c r="V168" s="6">
        <f t="shared" si="44"/>
        <v>1.6856729636458102E-2</v>
      </c>
      <c r="W168" s="2"/>
      <c r="X168" s="7">
        <f t="shared" si="45"/>
        <v>-86856.919999999984</v>
      </c>
      <c r="Y168" s="2"/>
      <c r="Z168" s="6">
        <f t="shared" si="46"/>
        <v>-0.57008440646372349</v>
      </c>
    </row>
    <row r="169" spans="1:26" s="28" customFormat="1" outlineLevel="1" collapsed="1" x14ac:dyDescent="0.25">
      <c r="A169" s="29"/>
      <c r="B169" s="14" t="str">
        <f>CONCATENATE("     ","Depreciation                                      ")</f>
        <v xml:space="preserve">     Depreciation                                      </v>
      </c>
      <c r="C169" s="14"/>
      <c r="D169" s="1">
        <f>SUM(OSRRefD22_5x_0)</f>
        <v>31016.29</v>
      </c>
      <c r="E169" s="1"/>
      <c r="F169" s="5">
        <f t="shared" si="39"/>
        <v>7.9779534189207954E-2</v>
      </c>
      <c r="G169" s="1"/>
      <c r="H169" s="1">
        <f>SUM(OSRRefH22_5x_0)</f>
        <v>30594</v>
      </c>
      <c r="I169" s="1"/>
      <c r="J169" s="5">
        <f t="shared" si="40"/>
        <v>3.9329265941117943E-2</v>
      </c>
      <c r="K169" s="1"/>
      <c r="L169" s="1">
        <f t="shared" si="41"/>
        <v>422.29000000000087</v>
      </c>
      <c r="M169" s="1"/>
      <c r="N169" s="5">
        <f t="shared" si="42"/>
        <v>1.3803033274498297E-2</v>
      </c>
      <c r="O169" s="14"/>
      <c r="P169" s="1">
        <f>SUM(OSRRefP22_5x_0)</f>
        <v>248425.81</v>
      </c>
      <c r="Q169" s="1"/>
      <c r="R169" s="5">
        <f t="shared" si="43"/>
        <v>4.380828310014611E-2</v>
      </c>
      <c r="S169" s="1"/>
      <c r="T169" s="1">
        <f>SUM(OSRRefT22_5x_0)</f>
        <v>245760</v>
      </c>
      <c r="U169" s="1"/>
      <c r="V169" s="5">
        <f t="shared" si="44"/>
        <v>2.7190629146194772E-2</v>
      </c>
      <c r="W169" s="1"/>
      <c r="X169" s="1">
        <f t="shared" si="45"/>
        <v>2665.8099999999977</v>
      </c>
      <c r="Y169" s="1"/>
      <c r="Z169" s="5">
        <f t="shared" si="46"/>
        <v>1.0847208658854158E-2</v>
      </c>
    </row>
    <row r="170" spans="1:26" s="24" customFormat="1" hidden="1" outlineLevel="2" x14ac:dyDescent="0.25">
      <c r="A170" s="27"/>
      <c r="B170" s="11" t="str">
        <f>CONCATENATE("          ", "6321", " - ", "BUILDING DEPRECIATION")</f>
        <v xml:space="preserve">          6321 - BUILDING DEPRECIATION</v>
      </c>
      <c r="C170" s="11"/>
      <c r="D170" s="7">
        <v>16396.52</v>
      </c>
      <c r="E170" s="2"/>
      <c r="F170" s="6">
        <f t="shared" si="39"/>
        <v>4.2174829030939297E-2</v>
      </c>
      <c r="G170" s="2"/>
      <c r="H170" s="7"/>
      <c r="I170" s="2"/>
      <c r="J170" s="6">
        <f t="shared" si="40"/>
        <v>0</v>
      </c>
      <c r="K170" s="2"/>
      <c r="L170" s="7">
        <f t="shared" si="41"/>
        <v>16396.52</v>
      </c>
      <c r="M170" s="2"/>
      <c r="N170" s="6">
        <f t="shared" si="42"/>
        <v>0</v>
      </c>
      <c r="O170" s="11"/>
      <c r="P170" s="7">
        <v>131172.16</v>
      </c>
      <c r="Q170" s="2"/>
      <c r="R170" s="6">
        <f t="shared" si="43"/>
        <v>2.3131361109933229E-2</v>
      </c>
      <c r="S170" s="2"/>
      <c r="T170" s="7"/>
      <c r="U170" s="2"/>
      <c r="V170" s="6">
        <f t="shared" si="44"/>
        <v>0</v>
      </c>
      <c r="W170" s="2"/>
      <c r="X170" s="7">
        <f t="shared" si="45"/>
        <v>131172.16</v>
      </c>
      <c r="Y170" s="2"/>
      <c r="Z170" s="6">
        <f t="shared" si="46"/>
        <v>0</v>
      </c>
    </row>
    <row r="171" spans="1:26" s="24" customFormat="1" hidden="1" outlineLevel="2" x14ac:dyDescent="0.25">
      <c r="A171" s="27"/>
      <c r="B171" s="11" t="str">
        <f>CONCATENATE("          ", "6322", " - ", "EQUIPMENT DEPRECIATION EXPENSE")</f>
        <v xml:space="preserve">          6322 - EQUIPMENT DEPRECIATION EXPENSE</v>
      </c>
      <c r="C171" s="11"/>
      <c r="D171" s="7">
        <v>14619.77</v>
      </c>
      <c r="E171" s="2"/>
      <c r="F171" s="6">
        <f t="shared" si="39"/>
        <v>3.7604705158268664E-2</v>
      </c>
      <c r="G171" s="2"/>
      <c r="H171" s="7">
        <v>30594</v>
      </c>
      <c r="I171" s="2"/>
      <c r="J171" s="6">
        <f t="shared" si="40"/>
        <v>3.9329265941117943E-2</v>
      </c>
      <c r="K171" s="2"/>
      <c r="L171" s="7">
        <f t="shared" si="41"/>
        <v>-15974.23</v>
      </c>
      <c r="M171" s="2"/>
      <c r="N171" s="6">
        <f t="shared" si="42"/>
        <v>-0.52213603974635547</v>
      </c>
      <c r="O171" s="11"/>
      <c r="P171" s="7">
        <v>117253.65000000001</v>
      </c>
      <c r="Q171" s="2"/>
      <c r="R171" s="6">
        <f t="shared" si="43"/>
        <v>2.0676921990212881E-2</v>
      </c>
      <c r="S171" s="2"/>
      <c r="T171" s="7">
        <v>245760</v>
      </c>
      <c r="U171" s="2"/>
      <c r="V171" s="6">
        <f t="shared" si="44"/>
        <v>2.7190629146194772E-2</v>
      </c>
      <c r="W171" s="2"/>
      <c r="X171" s="7">
        <f t="shared" si="45"/>
        <v>-128506.34999999999</v>
      </c>
      <c r="Y171" s="2"/>
      <c r="Z171" s="6">
        <f t="shared" si="46"/>
        <v>-0.52289367675781251</v>
      </c>
    </row>
    <row r="172" spans="1:26" s="28" customFormat="1" outlineLevel="1" collapsed="1" x14ac:dyDescent="0.25">
      <c r="A172" s="29"/>
      <c r="B172" s="14" t="str">
        <f>CONCATENATE("     ","Discounts and Markdowns                           ")</f>
        <v xml:space="preserve">     Discounts and Markdowns                           </v>
      </c>
      <c r="C172" s="14"/>
      <c r="D172" s="1">
        <f>SUM(OSRRefD22_6x_0)</f>
        <v>42.86</v>
      </c>
      <c r="E172" s="1"/>
      <c r="F172" s="5">
        <f t="shared" ref="F172:F174" si="47">IF(D$12=0,0,D172/D$12)</f>
        <v>1.102437085592588E-4</v>
      </c>
      <c r="G172" s="1"/>
      <c r="H172" s="1">
        <f>SUM(OSRRefH22_6x_0)</f>
        <v>34824</v>
      </c>
      <c r="I172" s="1"/>
      <c r="J172" s="5">
        <f t="shared" ref="J172:J174" si="48">IF(H$12=0,0,H172/H$12)</f>
        <v>4.4767024813149349E-2</v>
      </c>
      <c r="K172" s="1"/>
      <c r="L172" s="1">
        <f t="shared" ref="L172:L174" si="49">+D172-H172</f>
        <v>-34781.14</v>
      </c>
      <c r="M172" s="1"/>
      <c r="N172" s="5">
        <f t="shared" ref="N172:N174" si="50">IF(H172=0,0,L172/H172)</f>
        <v>-0.99876923960487018</v>
      </c>
      <c r="O172" s="14"/>
      <c r="P172" s="1">
        <f>SUM(OSRRefP22_6x_0)</f>
        <v>0</v>
      </c>
      <c r="Q172" s="1"/>
      <c r="R172" s="5">
        <f t="shared" ref="R172:R174" si="51">IF(P$12=0,0,P172/P$12)</f>
        <v>0</v>
      </c>
      <c r="S172" s="1"/>
      <c r="T172" s="1">
        <f>SUM(OSRRefT22_6x_0)</f>
        <v>247400</v>
      </c>
      <c r="U172" s="1"/>
      <c r="V172" s="5">
        <f t="shared" ref="V172:V174" si="52">IF(T$12=0,0,T172/T$12)</f>
        <v>2.7372077029494575E-2</v>
      </c>
      <c r="W172" s="1"/>
      <c r="X172" s="1">
        <f t="shared" ref="X172:X174" si="53">+P172-T172</f>
        <v>-247400</v>
      </c>
      <c r="Y172" s="1"/>
      <c r="Z172" s="5">
        <f t="shared" ref="Z172:Z174" si="54">IF(T172=0,0,X172/T172)</f>
        <v>-1</v>
      </c>
    </row>
    <row r="173" spans="1:26" s="24" customFormat="1" hidden="1" outlineLevel="2" x14ac:dyDescent="0.25">
      <c r="A173" s="27"/>
      <c r="B173" s="11" t="str">
        <f>CONCATENATE("          ", "6382", " - ", "DISCOUNTS/MARK DOWNS")</f>
        <v xml:space="preserve">          6382 - DISCOUNTS/MARK DOWNS</v>
      </c>
      <c r="C173" s="11"/>
      <c r="D173" s="7"/>
      <c r="E173" s="2"/>
      <c r="F173" s="6">
        <f t="shared" si="47"/>
        <v>0</v>
      </c>
      <c r="G173" s="2"/>
      <c r="H173" s="7">
        <v>34824</v>
      </c>
      <c r="I173" s="2"/>
      <c r="J173" s="6">
        <f t="shared" si="48"/>
        <v>4.4767024813149349E-2</v>
      </c>
      <c r="K173" s="2"/>
      <c r="L173" s="7">
        <f t="shared" si="49"/>
        <v>-34824</v>
      </c>
      <c r="M173" s="2"/>
      <c r="N173" s="6">
        <f t="shared" si="50"/>
        <v>-1</v>
      </c>
      <c r="O173" s="11"/>
      <c r="P173" s="7">
        <v>0</v>
      </c>
      <c r="Q173" s="2"/>
      <c r="R173" s="6">
        <f t="shared" si="51"/>
        <v>0</v>
      </c>
      <c r="S173" s="2"/>
      <c r="T173" s="7">
        <v>247400</v>
      </c>
      <c r="U173" s="2"/>
      <c r="V173" s="6">
        <f t="shared" si="52"/>
        <v>2.7372077029494575E-2</v>
      </c>
      <c r="W173" s="2"/>
      <c r="X173" s="7">
        <f t="shared" si="53"/>
        <v>-247400</v>
      </c>
      <c r="Y173" s="2"/>
      <c r="Z173" s="6">
        <f t="shared" si="54"/>
        <v>-1</v>
      </c>
    </row>
    <row r="174" spans="1:26" s="24" customFormat="1" hidden="1" outlineLevel="2" x14ac:dyDescent="0.25">
      <c r="A174" s="27"/>
      <c r="B174" s="11" t="str">
        <f>CONCATENATE("          ", "9175", " - ", "EARNED DISCOUNTS")</f>
        <v xml:space="preserve">          9175 - EARNED DISCOUNTS</v>
      </c>
      <c r="C174" s="11"/>
      <c r="D174" s="7">
        <v>42.86</v>
      </c>
      <c r="E174" s="2"/>
      <c r="F174" s="6">
        <f t="shared" si="47"/>
        <v>1.102437085592588E-4</v>
      </c>
      <c r="G174" s="2"/>
      <c r="H174" s="7"/>
      <c r="I174" s="2"/>
      <c r="J174" s="6">
        <f t="shared" si="48"/>
        <v>0</v>
      </c>
      <c r="K174" s="2"/>
      <c r="L174" s="7">
        <f t="shared" si="49"/>
        <v>42.86</v>
      </c>
      <c r="M174" s="2"/>
      <c r="N174" s="6">
        <f t="shared" si="50"/>
        <v>0</v>
      </c>
      <c r="O174" s="11"/>
      <c r="P174" s="7">
        <v>0</v>
      </c>
      <c r="Q174" s="2"/>
      <c r="R174" s="6">
        <f t="shared" si="51"/>
        <v>0</v>
      </c>
      <c r="S174" s="2"/>
      <c r="T174" s="7"/>
      <c r="U174" s="2"/>
      <c r="V174" s="6">
        <f t="shared" si="52"/>
        <v>0</v>
      </c>
      <c r="W174" s="2"/>
      <c r="X174" s="7">
        <f t="shared" si="53"/>
        <v>0</v>
      </c>
      <c r="Y174" s="2"/>
      <c r="Z174" s="6">
        <f t="shared" si="54"/>
        <v>0</v>
      </c>
    </row>
    <row r="175" spans="1:26" s="28" customFormat="1" outlineLevel="1" collapsed="1" x14ac:dyDescent="0.25">
      <c r="A175" s="29"/>
      <c r="B175" s="14" t="str">
        <f>CONCATENATE("     ","Donations                                         ")</f>
        <v xml:space="preserve">     Donations                                         </v>
      </c>
      <c r="C175" s="14"/>
      <c r="D175" s="1">
        <f>SUM(OSRRefD22_7x_0)</f>
        <v>0</v>
      </c>
      <c r="E175" s="1"/>
      <c r="F175" s="5">
        <f t="shared" ref="F175:F177" si="55">IF(D$12=0,0,D175/D$12)</f>
        <v>0</v>
      </c>
      <c r="G175" s="1"/>
      <c r="H175" s="1">
        <f>SUM(OSRRefH22_7x_0)</f>
        <v>1000</v>
      </c>
      <c r="I175" s="1"/>
      <c r="J175" s="5">
        <f t="shared" ref="J175:J177" si="56">IF(H$12=0,0,H175/H$12)</f>
        <v>1.2855221919696E-3</v>
      </c>
      <c r="K175" s="1"/>
      <c r="L175" s="1">
        <f t="shared" ref="L175:L177" si="57">+D175-H175</f>
        <v>-1000</v>
      </c>
      <c r="M175" s="1"/>
      <c r="N175" s="5">
        <f t="shared" ref="N175:N177" si="58">IF(H175=0,0,L175/H175)</f>
        <v>-1</v>
      </c>
      <c r="O175" s="14"/>
      <c r="P175" s="1">
        <f>SUM(OSRRefP22_7x_0)</f>
        <v>0</v>
      </c>
      <c r="Q175" s="1"/>
      <c r="R175" s="5">
        <f t="shared" ref="R175:R177" si="59">IF(P$12=0,0,P175/P$12)</f>
        <v>0</v>
      </c>
      <c r="S175" s="1"/>
      <c r="T175" s="1">
        <f>SUM(OSRRefT22_7x_0)</f>
        <v>8000</v>
      </c>
      <c r="U175" s="1"/>
      <c r="V175" s="5">
        <f t="shared" ref="V175:V177" si="60">IF(T$12=0,0,T175/T$12)</f>
        <v>8.8511162585269438E-4</v>
      </c>
      <c r="W175" s="1"/>
      <c r="X175" s="1">
        <f t="shared" ref="X175:X177" si="61">+P175-T175</f>
        <v>-8000</v>
      </c>
      <c r="Y175" s="1"/>
      <c r="Z175" s="5">
        <f t="shared" ref="Z175:Z177" si="62">IF(T175=0,0,X175/T175)</f>
        <v>-1</v>
      </c>
    </row>
    <row r="176" spans="1:26" s="24" customFormat="1" hidden="1" outlineLevel="2" x14ac:dyDescent="0.25">
      <c r="A176" s="27"/>
      <c r="B176" s="11" t="str">
        <f>CONCATENATE("          ", "6395", " - ", "DONATION-OFF CAMPUS")</f>
        <v xml:space="preserve">          6395 - DONATION-OFF CAMPUS</v>
      </c>
      <c r="C176" s="11"/>
      <c r="D176" s="7"/>
      <c r="E176" s="2"/>
      <c r="F176" s="6">
        <f t="shared" si="55"/>
        <v>0</v>
      </c>
      <c r="G176" s="2"/>
      <c r="H176" s="7"/>
      <c r="I176" s="2"/>
      <c r="J176" s="6">
        <f t="shared" si="56"/>
        <v>0</v>
      </c>
      <c r="K176" s="2"/>
      <c r="L176" s="7">
        <f t="shared" si="57"/>
        <v>0</v>
      </c>
      <c r="M176" s="2"/>
      <c r="N176" s="6">
        <f t="shared" si="58"/>
        <v>0</v>
      </c>
      <c r="O176" s="11"/>
      <c r="P176" s="7"/>
      <c r="Q176" s="2"/>
      <c r="R176" s="6">
        <f t="shared" si="59"/>
        <v>0</v>
      </c>
      <c r="S176" s="2"/>
      <c r="T176" s="7">
        <v>0</v>
      </c>
      <c r="U176" s="2"/>
      <c r="V176" s="6">
        <f t="shared" si="60"/>
        <v>0</v>
      </c>
      <c r="W176" s="2"/>
      <c r="X176" s="7">
        <f t="shared" si="61"/>
        <v>0</v>
      </c>
      <c r="Y176" s="2"/>
      <c r="Z176" s="6">
        <f t="shared" si="62"/>
        <v>0</v>
      </c>
    </row>
    <row r="177" spans="1:26" s="24" customFormat="1" hidden="1" outlineLevel="2" x14ac:dyDescent="0.25">
      <c r="A177" s="27"/>
      <c r="B177" s="11" t="str">
        <f>CONCATENATE("          ", "6399", " - ", "DONATION-ON CAMPUS")</f>
        <v xml:space="preserve">          6399 - DONATION-ON CAMPUS</v>
      </c>
      <c r="C177" s="11"/>
      <c r="D177" s="7"/>
      <c r="E177" s="2"/>
      <c r="F177" s="6">
        <f t="shared" si="55"/>
        <v>0</v>
      </c>
      <c r="G177" s="2"/>
      <c r="H177" s="7">
        <v>1000</v>
      </c>
      <c r="I177" s="2"/>
      <c r="J177" s="6">
        <f t="shared" si="56"/>
        <v>1.2855221919696E-3</v>
      </c>
      <c r="K177" s="2"/>
      <c r="L177" s="7">
        <f t="shared" si="57"/>
        <v>-1000</v>
      </c>
      <c r="M177" s="2"/>
      <c r="N177" s="6">
        <f t="shared" si="58"/>
        <v>-1</v>
      </c>
      <c r="O177" s="11"/>
      <c r="P177" s="7"/>
      <c r="Q177" s="2"/>
      <c r="R177" s="6">
        <f t="shared" si="59"/>
        <v>0</v>
      </c>
      <c r="S177" s="2"/>
      <c r="T177" s="7">
        <v>8000</v>
      </c>
      <c r="U177" s="2"/>
      <c r="V177" s="6">
        <f t="shared" si="60"/>
        <v>8.8511162585269438E-4</v>
      </c>
      <c r="W177" s="2"/>
      <c r="X177" s="7">
        <f t="shared" si="61"/>
        <v>-8000</v>
      </c>
      <c r="Y177" s="2"/>
      <c r="Z177" s="6">
        <f t="shared" si="62"/>
        <v>-1</v>
      </c>
    </row>
    <row r="178" spans="1:26" s="28" customFormat="1" outlineLevel="1" collapsed="1" x14ac:dyDescent="0.25">
      <c r="A178" s="29"/>
      <c r="B178" s="14" t="str">
        <f>CONCATENATE("     ","Employees' Appreciation                           ")</f>
        <v xml:space="preserve">     Employees' Appreciation                           </v>
      </c>
      <c r="C178" s="14"/>
      <c r="D178" s="1">
        <f>SUM(OSRRefD22_8x_0)</f>
        <v>0</v>
      </c>
      <c r="E178" s="1"/>
      <c r="F178" s="5">
        <f t="shared" ref="F178:F184" si="63">IF(D$12=0,0,D178/D$12)</f>
        <v>0</v>
      </c>
      <c r="G178" s="1"/>
      <c r="H178" s="1">
        <f>SUM(OSRRefH22_8x_0)</f>
        <v>445</v>
      </c>
      <c r="I178" s="1"/>
      <c r="J178" s="5">
        <f t="shared" ref="J178:J184" si="64">IF(H$12=0,0,H178/H$12)</f>
        <v>5.7205737542647198E-4</v>
      </c>
      <c r="K178" s="1"/>
      <c r="L178" s="1">
        <f t="shared" ref="L178:L184" si="65">+D178-H178</f>
        <v>-445</v>
      </c>
      <c r="M178" s="1"/>
      <c r="N178" s="5">
        <f t="shared" ref="N178:N184" si="66">IF(H178=0,0,L178/H178)</f>
        <v>-1</v>
      </c>
      <c r="O178" s="14"/>
      <c r="P178" s="1">
        <f>SUM(OSRRefP22_8x_0)</f>
        <v>186.03</v>
      </c>
      <c r="Q178" s="1"/>
      <c r="R178" s="5">
        <f t="shared" ref="R178:R184" si="67">IF(P$12=0,0,P178/P$12)</f>
        <v>3.280518600350012E-5</v>
      </c>
      <c r="S178" s="1"/>
      <c r="T178" s="1">
        <f>SUM(OSRRefT22_8x_0)</f>
        <v>3460</v>
      </c>
      <c r="U178" s="1"/>
      <c r="V178" s="5">
        <f t="shared" ref="V178:V184" si="68">IF(T$12=0,0,T178/T$12)</f>
        <v>3.8281077818129032E-4</v>
      </c>
      <c r="W178" s="1"/>
      <c r="X178" s="1">
        <f t="shared" ref="X178:X184" si="69">+P178-T178</f>
        <v>-3273.97</v>
      </c>
      <c r="Y178" s="1"/>
      <c r="Z178" s="5">
        <f t="shared" ref="Z178:Z184" si="70">IF(T178=0,0,X178/T178)</f>
        <v>-0.94623410404624275</v>
      </c>
    </row>
    <row r="179" spans="1:26" s="24" customFormat="1" hidden="1" outlineLevel="2" x14ac:dyDescent="0.25">
      <c r="A179" s="27"/>
      <c r="B179" s="11" t="str">
        <f>CONCATENATE("          ", "6277", " - ", "EMPLOYEE APPRECIATION")</f>
        <v xml:space="preserve">          6277 - EMPLOYEE APPRECIATION</v>
      </c>
      <c r="C179" s="11"/>
      <c r="D179" s="7"/>
      <c r="E179" s="2"/>
      <c r="F179" s="6">
        <f t="shared" si="63"/>
        <v>0</v>
      </c>
      <c r="G179" s="2"/>
      <c r="H179" s="7">
        <v>445</v>
      </c>
      <c r="I179" s="2"/>
      <c r="J179" s="6">
        <f t="shared" si="64"/>
        <v>5.7205737542647198E-4</v>
      </c>
      <c r="K179" s="2"/>
      <c r="L179" s="7">
        <f t="shared" si="65"/>
        <v>-445</v>
      </c>
      <c r="M179" s="2"/>
      <c r="N179" s="6">
        <f t="shared" si="66"/>
        <v>-1</v>
      </c>
      <c r="O179" s="11"/>
      <c r="P179" s="7">
        <v>186.03</v>
      </c>
      <c r="Q179" s="2"/>
      <c r="R179" s="6">
        <f t="shared" si="67"/>
        <v>3.280518600350012E-5</v>
      </c>
      <c r="S179" s="2"/>
      <c r="T179" s="7">
        <v>3460</v>
      </c>
      <c r="U179" s="2"/>
      <c r="V179" s="6">
        <f t="shared" si="68"/>
        <v>3.8281077818129032E-4</v>
      </c>
      <c r="W179" s="2"/>
      <c r="X179" s="7">
        <f t="shared" si="69"/>
        <v>-3273.97</v>
      </c>
      <c r="Y179" s="2"/>
      <c r="Z179" s="6">
        <f t="shared" si="70"/>
        <v>-0.94623410404624275</v>
      </c>
    </row>
    <row r="180" spans="1:26" s="28" customFormat="1" outlineLevel="1" collapsed="1" x14ac:dyDescent="0.25">
      <c r="A180" s="29"/>
      <c r="B180" s="14" t="str">
        <f>CONCATENATE("     ","Equipment Rental                                  ")</f>
        <v xml:space="preserve">     Equipment Rental                                  </v>
      </c>
      <c r="C180" s="14"/>
      <c r="D180" s="1">
        <f>SUM(OSRRefD22_9x_0)</f>
        <v>1784.21</v>
      </c>
      <c r="E180" s="1"/>
      <c r="F180" s="5">
        <f t="shared" si="63"/>
        <v>4.5893123483087992E-3</v>
      </c>
      <c r="G180" s="1"/>
      <c r="H180" s="1">
        <f>SUM(OSRRefH22_9x_0)</f>
        <v>3006</v>
      </c>
      <c r="I180" s="1"/>
      <c r="J180" s="5">
        <f t="shared" si="64"/>
        <v>3.8642797090606175E-3</v>
      </c>
      <c r="K180" s="1"/>
      <c r="L180" s="1">
        <f t="shared" si="65"/>
        <v>-1221.79</v>
      </c>
      <c r="M180" s="1"/>
      <c r="N180" s="5">
        <f t="shared" si="66"/>
        <v>-0.40645043246839652</v>
      </c>
      <c r="O180" s="14"/>
      <c r="P180" s="1">
        <f>SUM(OSRRefP22_9x_0)</f>
        <v>12149.11</v>
      </c>
      <c r="Q180" s="1"/>
      <c r="R180" s="5">
        <f t="shared" si="67"/>
        <v>2.14241688613118E-3</v>
      </c>
      <c r="S180" s="1"/>
      <c r="T180" s="1">
        <f>SUM(OSRRefT22_9x_0)</f>
        <v>24048</v>
      </c>
      <c r="U180" s="1"/>
      <c r="V180" s="5">
        <f t="shared" si="68"/>
        <v>2.6606455473131992E-3</v>
      </c>
      <c r="W180" s="1"/>
      <c r="X180" s="1">
        <f t="shared" si="69"/>
        <v>-11898.89</v>
      </c>
      <c r="Y180" s="1"/>
      <c r="Z180" s="5">
        <f t="shared" si="70"/>
        <v>-0.49479748835662007</v>
      </c>
    </row>
    <row r="181" spans="1:26" s="24" customFormat="1" hidden="1" outlineLevel="2" x14ac:dyDescent="0.25">
      <c r="A181" s="27"/>
      <c r="B181" s="11" t="str">
        <f>CONCATENATE("          ", "6351", " - ", "EQUIPMENT RENTAL")</f>
        <v xml:space="preserve">          6351 - EQUIPMENT RENTAL</v>
      </c>
      <c r="C181" s="11"/>
      <c r="D181" s="7">
        <v>1784.21</v>
      </c>
      <c r="E181" s="2"/>
      <c r="F181" s="6">
        <f t="shared" si="63"/>
        <v>4.5893123483087992E-3</v>
      </c>
      <c r="G181" s="2"/>
      <c r="H181" s="7">
        <v>3006</v>
      </c>
      <c r="I181" s="2"/>
      <c r="J181" s="6">
        <f t="shared" si="64"/>
        <v>3.8642797090606175E-3</v>
      </c>
      <c r="K181" s="2"/>
      <c r="L181" s="7">
        <f t="shared" si="65"/>
        <v>-1221.79</v>
      </c>
      <c r="M181" s="2"/>
      <c r="N181" s="6">
        <f t="shared" si="66"/>
        <v>-0.40645043246839652</v>
      </c>
      <c r="O181" s="11"/>
      <c r="P181" s="7">
        <v>12149.11</v>
      </c>
      <c r="Q181" s="2"/>
      <c r="R181" s="6">
        <f t="shared" si="67"/>
        <v>2.14241688613118E-3</v>
      </c>
      <c r="S181" s="2"/>
      <c r="T181" s="7">
        <v>24048</v>
      </c>
      <c r="U181" s="2"/>
      <c r="V181" s="6">
        <f t="shared" si="68"/>
        <v>2.6606455473131992E-3</v>
      </c>
      <c r="W181" s="2"/>
      <c r="X181" s="7">
        <f t="shared" si="69"/>
        <v>-11898.89</v>
      </c>
      <c r="Y181" s="2"/>
      <c r="Z181" s="6">
        <f t="shared" si="70"/>
        <v>-0.49479748835662007</v>
      </c>
    </row>
    <row r="182" spans="1:26" s="28" customFormat="1" outlineLevel="1" collapsed="1" x14ac:dyDescent="0.25">
      <c r="A182" s="29"/>
      <c r="B182" s="14" t="str">
        <f>CONCATENATE("     ","Freight out/Postage                               ")</f>
        <v xml:space="preserve">     Freight out/Postage                               </v>
      </c>
      <c r="C182" s="14"/>
      <c r="D182" s="1">
        <f>SUM(OSRRefD22_10x_0)</f>
        <v>4253.7100000000028</v>
      </c>
      <c r="E182" s="1"/>
      <c r="F182" s="5">
        <f t="shared" si="63"/>
        <v>1.0941315108156907E-2</v>
      </c>
      <c r="G182" s="1"/>
      <c r="H182" s="1">
        <f>SUM(OSRRefH22_10x_0)</f>
        <v>5603</v>
      </c>
      <c r="I182" s="1"/>
      <c r="J182" s="5">
        <f t="shared" si="64"/>
        <v>7.2027808416056686E-3</v>
      </c>
      <c r="K182" s="1"/>
      <c r="L182" s="1">
        <f t="shared" si="65"/>
        <v>-1349.2899999999972</v>
      </c>
      <c r="M182" s="1"/>
      <c r="N182" s="5">
        <f t="shared" si="66"/>
        <v>-0.24081563448152726</v>
      </c>
      <c r="O182" s="14"/>
      <c r="P182" s="1">
        <f>SUM(OSRRefP22_10x_0)</f>
        <v>-31571.570000000007</v>
      </c>
      <c r="Q182" s="1"/>
      <c r="R182" s="5">
        <f t="shared" si="67"/>
        <v>-5.5674419516880324E-3</v>
      </c>
      <c r="S182" s="1"/>
      <c r="T182" s="1">
        <f>SUM(OSRRefT22_10x_0)</f>
        <v>46473</v>
      </c>
      <c r="U182" s="1"/>
      <c r="V182" s="5">
        <f t="shared" si="68"/>
        <v>5.1417240735315336E-3</v>
      </c>
      <c r="W182" s="1"/>
      <c r="X182" s="1">
        <f t="shared" si="69"/>
        <v>-78044.570000000007</v>
      </c>
      <c r="Y182" s="1"/>
      <c r="Z182" s="5">
        <f t="shared" si="70"/>
        <v>-1.6793529576313129</v>
      </c>
    </row>
    <row r="183" spans="1:26" s="24" customFormat="1" hidden="1" outlineLevel="2" x14ac:dyDescent="0.25">
      <c r="A183" s="27"/>
      <c r="B183" s="11" t="str">
        <f>CONCATENATE("          ", "6305", " - ", "FREIGHT OUT")</f>
        <v xml:space="preserve">          6305 - FREIGHT OUT</v>
      </c>
      <c r="C183" s="11"/>
      <c r="D183" s="7">
        <v>26266.240000000002</v>
      </c>
      <c r="E183" s="2"/>
      <c r="F183" s="6">
        <f t="shared" si="63"/>
        <v>6.7561542405682365E-2</v>
      </c>
      <c r="G183" s="2"/>
      <c r="H183" s="7">
        <v>11283</v>
      </c>
      <c r="I183" s="2"/>
      <c r="J183" s="6">
        <f t="shared" si="64"/>
        <v>1.4504546891992997E-2</v>
      </c>
      <c r="K183" s="2"/>
      <c r="L183" s="7">
        <f t="shared" si="65"/>
        <v>14983.240000000002</v>
      </c>
      <c r="M183" s="2"/>
      <c r="N183" s="6">
        <f t="shared" si="66"/>
        <v>1.3279482407161218</v>
      </c>
      <c r="O183" s="11"/>
      <c r="P183" s="7">
        <v>162736.94999999998</v>
      </c>
      <c r="Q183" s="2"/>
      <c r="R183" s="6">
        <f t="shared" si="67"/>
        <v>2.8697607452520018E-2</v>
      </c>
      <c r="S183" s="2"/>
      <c r="T183" s="7">
        <v>48763</v>
      </c>
      <c r="U183" s="2"/>
      <c r="V183" s="6">
        <f t="shared" si="68"/>
        <v>5.3950872764318668E-3</v>
      </c>
      <c r="W183" s="2"/>
      <c r="X183" s="7">
        <f t="shared" si="69"/>
        <v>113973.94999999998</v>
      </c>
      <c r="Y183" s="2"/>
      <c r="Z183" s="6">
        <f t="shared" si="70"/>
        <v>2.3373038984475931</v>
      </c>
    </row>
    <row r="184" spans="1:26" s="24" customFormat="1" hidden="1" outlineLevel="2" x14ac:dyDescent="0.25">
      <c r="A184" s="27"/>
      <c r="B184" s="11" t="str">
        <f>CONCATENATE("          ", "6307", " - ", "POSTAGE")</f>
        <v xml:space="preserve">          6307 - POSTAGE</v>
      </c>
      <c r="C184" s="11"/>
      <c r="D184" s="7">
        <v>-22012.53</v>
      </c>
      <c r="E184" s="2"/>
      <c r="F184" s="6">
        <f t="shared" si="63"/>
        <v>-5.6620227297525451E-2</v>
      </c>
      <c r="G184" s="2"/>
      <c r="H184" s="7">
        <v>-5680</v>
      </c>
      <c r="I184" s="2"/>
      <c r="J184" s="6">
        <f t="shared" si="64"/>
        <v>-7.3017660503873275E-3</v>
      </c>
      <c r="K184" s="2"/>
      <c r="L184" s="7">
        <f t="shared" si="65"/>
        <v>-16332.529999999999</v>
      </c>
      <c r="M184" s="2"/>
      <c r="N184" s="6">
        <f t="shared" si="66"/>
        <v>2.8754454225352108</v>
      </c>
      <c r="O184" s="11"/>
      <c r="P184" s="7">
        <v>-194308.52</v>
      </c>
      <c r="Q184" s="2"/>
      <c r="R184" s="6">
        <f t="shared" si="67"/>
        <v>-3.4265049404208048E-2</v>
      </c>
      <c r="S184" s="2"/>
      <c r="T184" s="7">
        <v>-2290</v>
      </c>
      <c r="U184" s="2"/>
      <c r="V184" s="6">
        <f t="shared" si="68"/>
        <v>-2.5336320290033379E-4</v>
      </c>
      <c r="W184" s="2"/>
      <c r="X184" s="7">
        <f t="shared" si="69"/>
        <v>-192018.52</v>
      </c>
      <c r="Y184" s="2"/>
      <c r="Z184" s="6">
        <f t="shared" si="70"/>
        <v>83.850882096069867</v>
      </c>
    </row>
    <row r="185" spans="1:26" s="28" customFormat="1" outlineLevel="1" collapsed="1" x14ac:dyDescent="0.25">
      <c r="A185" s="29"/>
      <c r="B185" s="14" t="str">
        <f>CONCATENATE("     ","General                                           ")</f>
        <v xml:space="preserve">     General                                           </v>
      </c>
      <c r="C185" s="14"/>
      <c r="D185" s="1">
        <f>SUM(OSRRefD22_11x_0)</f>
        <v>-4.21</v>
      </c>
      <c r="E185" s="1"/>
      <c r="F185" s="5">
        <f t="shared" ref="F185:F188" si="71">IF(D$12=0,0,D185/D$12)</f>
        <v>-1.0828885045134846E-5</v>
      </c>
      <c r="G185" s="1"/>
      <c r="H185" s="1">
        <f>SUM(OSRRefH22_11x_0)</f>
        <v>655</v>
      </c>
      <c r="I185" s="1"/>
      <c r="J185" s="5">
        <f t="shared" ref="J185:J188" si="72">IF(H$12=0,0,H185/H$12)</f>
        <v>8.42017035740088E-4</v>
      </c>
      <c r="K185" s="1"/>
      <c r="L185" s="1">
        <f t="shared" ref="L185:L188" si="73">+D185-H185</f>
        <v>-659.21</v>
      </c>
      <c r="M185" s="1"/>
      <c r="N185" s="5">
        <f t="shared" ref="N185:N188" si="74">IF(H185=0,0,L185/H185)</f>
        <v>-1.0064274809160305</v>
      </c>
      <c r="O185" s="14"/>
      <c r="P185" s="1">
        <f>SUM(OSRRefP22_11x_0)</f>
        <v>2479.64</v>
      </c>
      <c r="Q185" s="1"/>
      <c r="R185" s="5">
        <f t="shared" ref="R185:R188" si="75">IF(P$12=0,0,P185/P$12)</f>
        <v>4.3726845896747323E-4</v>
      </c>
      <c r="S185" s="1"/>
      <c r="T185" s="1">
        <f>SUM(OSRRefT22_11x_0)</f>
        <v>8940</v>
      </c>
      <c r="U185" s="1"/>
      <c r="V185" s="5">
        <f t="shared" ref="V185:V188" si="76">IF(T$12=0,0,T185/T$12)</f>
        <v>9.8911224189038608E-4</v>
      </c>
      <c r="W185" s="1"/>
      <c r="X185" s="1">
        <f t="shared" ref="X185:X188" si="77">+P185-T185</f>
        <v>-6460.3600000000006</v>
      </c>
      <c r="Y185" s="1"/>
      <c r="Z185" s="5">
        <f t="shared" ref="Z185:Z188" si="78">IF(T185=0,0,X185/T185)</f>
        <v>-0.72263534675615215</v>
      </c>
    </row>
    <row r="186" spans="1:26" s="24" customFormat="1" hidden="1" outlineLevel="2" x14ac:dyDescent="0.25">
      <c r="A186" s="27"/>
      <c r="B186" s="11" t="str">
        <f>CONCATENATE("          ", "6269", " - ", "ENTERTAINMENT")</f>
        <v xml:space="preserve">          6269 - ENTERTAINMENT</v>
      </c>
      <c r="C186" s="11"/>
      <c r="D186" s="7"/>
      <c r="E186" s="2"/>
      <c r="F186" s="6">
        <f t="shared" si="71"/>
        <v>0</v>
      </c>
      <c r="G186" s="2"/>
      <c r="H186" s="7">
        <v>125</v>
      </c>
      <c r="I186" s="2"/>
      <c r="J186" s="6">
        <f t="shared" si="72"/>
        <v>1.606902739962E-4</v>
      </c>
      <c r="K186" s="2"/>
      <c r="L186" s="7">
        <f t="shared" si="73"/>
        <v>-125</v>
      </c>
      <c r="M186" s="2"/>
      <c r="N186" s="6">
        <f t="shared" si="74"/>
        <v>-1</v>
      </c>
      <c r="O186" s="11"/>
      <c r="P186" s="7"/>
      <c r="Q186" s="2"/>
      <c r="R186" s="6">
        <f t="shared" si="75"/>
        <v>0</v>
      </c>
      <c r="S186" s="2"/>
      <c r="T186" s="7">
        <v>1500</v>
      </c>
      <c r="U186" s="2"/>
      <c r="V186" s="6">
        <f t="shared" si="76"/>
        <v>1.659584298473802E-4</v>
      </c>
      <c r="W186" s="2"/>
      <c r="X186" s="7">
        <f t="shared" si="77"/>
        <v>-1500</v>
      </c>
      <c r="Y186" s="2"/>
      <c r="Z186" s="6">
        <f t="shared" si="78"/>
        <v>-1</v>
      </c>
    </row>
    <row r="187" spans="1:26" s="24" customFormat="1" hidden="1" outlineLevel="2" x14ac:dyDescent="0.25">
      <c r="A187" s="27"/>
      <c r="B187" s="11" t="str">
        <f>CONCATENATE("          ", "6276", " - ", "PROPERTY TAX")</f>
        <v xml:space="preserve">          6276 - PROPERTY TAX</v>
      </c>
      <c r="C187" s="11"/>
      <c r="D187" s="7"/>
      <c r="E187" s="2"/>
      <c r="F187" s="6">
        <f t="shared" si="71"/>
        <v>0</v>
      </c>
      <c r="G187" s="2"/>
      <c r="H187" s="7"/>
      <c r="I187" s="2"/>
      <c r="J187" s="6">
        <f t="shared" si="72"/>
        <v>0</v>
      </c>
      <c r="K187" s="2"/>
      <c r="L187" s="7">
        <f t="shared" si="73"/>
        <v>0</v>
      </c>
      <c r="M187" s="2"/>
      <c r="N187" s="6">
        <f t="shared" si="74"/>
        <v>0</v>
      </c>
      <c r="O187" s="11"/>
      <c r="P187" s="7"/>
      <c r="Q187" s="2"/>
      <c r="R187" s="6">
        <f t="shared" si="75"/>
        <v>0</v>
      </c>
      <c r="S187" s="2"/>
      <c r="T187" s="7">
        <v>150</v>
      </c>
      <c r="U187" s="2"/>
      <c r="V187" s="6">
        <f t="shared" si="76"/>
        <v>1.659584298473802E-5</v>
      </c>
      <c r="W187" s="2"/>
      <c r="X187" s="7">
        <f t="shared" si="77"/>
        <v>-150</v>
      </c>
      <c r="Y187" s="2"/>
      <c r="Z187" s="6">
        <f t="shared" si="78"/>
        <v>-1</v>
      </c>
    </row>
    <row r="188" spans="1:26" s="24" customFormat="1" hidden="1" outlineLevel="2" x14ac:dyDescent="0.25">
      <c r="A188" s="27"/>
      <c r="B188" s="11" t="str">
        <f>CONCATENATE("          ", "6279", " - ", "GENERAL EXPENSE")</f>
        <v xml:space="preserve">          6279 - GENERAL EXPENSE</v>
      </c>
      <c r="C188" s="11"/>
      <c r="D188" s="7">
        <v>-4.21</v>
      </c>
      <c r="E188" s="2"/>
      <c r="F188" s="6">
        <f t="shared" si="71"/>
        <v>-1.0828885045134846E-5</v>
      </c>
      <c r="G188" s="2"/>
      <c r="H188" s="7">
        <v>530</v>
      </c>
      <c r="I188" s="2"/>
      <c r="J188" s="6">
        <f t="shared" si="72"/>
        <v>6.8132676174388802E-4</v>
      </c>
      <c r="K188" s="2"/>
      <c r="L188" s="7">
        <f t="shared" si="73"/>
        <v>-534.21</v>
      </c>
      <c r="M188" s="2"/>
      <c r="N188" s="6">
        <f t="shared" si="74"/>
        <v>-1.0079433962264153</v>
      </c>
      <c r="O188" s="11"/>
      <c r="P188" s="7">
        <v>2479.64</v>
      </c>
      <c r="Q188" s="2"/>
      <c r="R188" s="6">
        <f t="shared" si="75"/>
        <v>4.3726845896747323E-4</v>
      </c>
      <c r="S188" s="2"/>
      <c r="T188" s="7">
        <v>7290</v>
      </c>
      <c r="U188" s="2"/>
      <c r="V188" s="6">
        <f t="shared" si="76"/>
        <v>8.0655796905826783E-4</v>
      </c>
      <c r="W188" s="2"/>
      <c r="X188" s="7">
        <f t="shared" si="77"/>
        <v>-4810.3600000000006</v>
      </c>
      <c r="Y188" s="2"/>
      <c r="Z188" s="6">
        <f t="shared" si="78"/>
        <v>-0.65985733882030184</v>
      </c>
    </row>
    <row r="189" spans="1:26" s="28" customFormat="1" outlineLevel="1" collapsed="1" x14ac:dyDescent="0.25">
      <c r="A189" s="29"/>
      <c r="B189" s="14" t="str">
        <f>CONCATENATE("     ","Insurance                                         ")</f>
        <v xml:space="preserve">     Insurance                                         </v>
      </c>
      <c r="C189" s="14"/>
      <c r="D189" s="1">
        <f>SUM(OSRRefD22_12x_0)</f>
        <v>4044.74</v>
      </c>
      <c r="E189" s="1"/>
      <c r="F189" s="5">
        <f t="shared" ref="F189:F201" si="79">IF(D$12=0,0,D189/D$12)</f>
        <v>1.0403806293933187E-2</v>
      </c>
      <c r="G189" s="1"/>
      <c r="H189" s="1">
        <f>SUM(OSRRefH22_12x_0)</f>
        <v>4446</v>
      </c>
      <c r="I189" s="1"/>
      <c r="J189" s="5">
        <f t="shared" ref="J189:J201" si="80">IF(H$12=0,0,H189/H$12)</f>
        <v>5.7154316654968416E-3</v>
      </c>
      <c r="K189" s="1"/>
      <c r="L189" s="1">
        <f t="shared" ref="L189:L201" si="81">+D189-H189</f>
        <v>-401.26000000000022</v>
      </c>
      <c r="M189" s="1"/>
      <c r="N189" s="5">
        <f t="shared" ref="N189:N201" si="82">IF(H189=0,0,L189/H189)</f>
        <v>-9.0251911830859247E-2</v>
      </c>
      <c r="O189" s="14"/>
      <c r="P189" s="1">
        <f>SUM(OSRRefP22_12x_0)</f>
        <v>32357.919999999998</v>
      </c>
      <c r="Q189" s="1"/>
      <c r="R189" s="5">
        <f t="shared" ref="R189:R201" si="83">IF(P$12=0,0,P189/P$12)</f>
        <v>5.7061096827736206E-3</v>
      </c>
      <c r="S189" s="1"/>
      <c r="T189" s="1">
        <f>SUM(OSRRefT22_12x_0)</f>
        <v>35568</v>
      </c>
      <c r="U189" s="1"/>
      <c r="V189" s="5">
        <f t="shared" ref="V189:V201" si="84">IF(T$12=0,0,T189/T$12)</f>
        <v>3.9352062885410792E-3</v>
      </c>
      <c r="W189" s="1"/>
      <c r="X189" s="1">
        <f t="shared" ref="X189:X201" si="85">+P189-T189</f>
        <v>-3210.0800000000017</v>
      </c>
      <c r="Y189" s="1"/>
      <c r="Z189" s="5">
        <f t="shared" ref="Z189:Z201" si="86">IF(T189=0,0,X189/T189)</f>
        <v>-9.0251911830859247E-2</v>
      </c>
    </row>
    <row r="190" spans="1:26" s="24" customFormat="1" hidden="1" outlineLevel="2" x14ac:dyDescent="0.25">
      <c r="A190" s="27"/>
      <c r="B190" s="11" t="str">
        <f>CONCATENATE("          ", "6314", " - ", "LIABILITY INSURANCE")</f>
        <v xml:space="preserve">          6314 - LIABILITY INSURANCE</v>
      </c>
      <c r="C190" s="11"/>
      <c r="D190" s="7">
        <v>4044.74</v>
      </c>
      <c r="E190" s="2"/>
      <c r="F190" s="6">
        <f t="shared" si="79"/>
        <v>1.0403806293933187E-2</v>
      </c>
      <c r="G190" s="2"/>
      <c r="H190" s="7">
        <v>4446</v>
      </c>
      <c r="I190" s="2"/>
      <c r="J190" s="6">
        <f t="shared" si="80"/>
        <v>5.7154316654968416E-3</v>
      </c>
      <c r="K190" s="2"/>
      <c r="L190" s="7">
        <f t="shared" si="81"/>
        <v>-401.26000000000022</v>
      </c>
      <c r="M190" s="2"/>
      <c r="N190" s="6">
        <f t="shared" si="82"/>
        <v>-9.0251911830859247E-2</v>
      </c>
      <c r="O190" s="11"/>
      <c r="P190" s="7">
        <v>32357.919999999998</v>
      </c>
      <c r="Q190" s="2"/>
      <c r="R190" s="6">
        <f t="shared" si="83"/>
        <v>5.7061096827736206E-3</v>
      </c>
      <c r="S190" s="2"/>
      <c r="T190" s="7">
        <v>35568</v>
      </c>
      <c r="U190" s="2"/>
      <c r="V190" s="6">
        <f t="shared" si="84"/>
        <v>3.9352062885410792E-3</v>
      </c>
      <c r="W190" s="2"/>
      <c r="X190" s="7">
        <f t="shared" si="85"/>
        <v>-3210.0800000000017</v>
      </c>
      <c r="Y190" s="2"/>
      <c r="Z190" s="6">
        <f t="shared" si="86"/>
        <v>-9.0251911830859247E-2</v>
      </c>
    </row>
    <row r="191" spans="1:26" s="28" customFormat="1" outlineLevel="1" collapsed="1" x14ac:dyDescent="0.25">
      <c r="A191" s="29"/>
      <c r="B191" s="14" t="str">
        <f>CONCATENATE("     ","Inventory Adjustment                              ")</f>
        <v xml:space="preserve">     Inventory Adjustment                              </v>
      </c>
      <c r="C191" s="14"/>
      <c r="D191" s="1">
        <f>SUM(OSRRefD22_13x_0)</f>
        <v>3350</v>
      </c>
      <c r="E191" s="1"/>
      <c r="F191" s="5">
        <f t="shared" si="79"/>
        <v>8.6168087651310541E-3</v>
      </c>
      <c r="G191" s="1"/>
      <c r="H191" s="1">
        <f>SUM(OSRRefH22_13x_0)</f>
        <v>4350</v>
      </c>
      <c r="I191" s="1"/>
      <c r="J191" s="5">
        <f t="shared" si="80"/>
        <v>5.59202153506776E-3</v>
      </c>
      <c r="K191" s="1"/>
      <c r="L191" s="1">
        <f t="shared" si="81"/>
        <v>-1000</v>
      </c>
      <c r="M191" s="1"/>
      <c r="N191" s="5">
        <f t="shared" si="82"/>
        <v>-0.22988505747126436</v>
      </c>
      <c r="O191" s="14"/>
      <c r="P191" s="1">
        <f>SUM(OSRRefP22_13x_0)</f>
        <v>31800</v>
      </c>
      <c r="Q191" s="1"/>
      <c r="R191" s="5">
        <f t="shared" si="83"/>
        <v>5.6077241031624141E-3</v>
      </c>
      <c r="S191" s="1"/>
      <c r="T191" s="1">
        <f>SUM(OSRRefT22_13x_0)</f>
        <v>39800</v>
      </c>
      <c r="U191" s="1"/>
      <c r="V191" s="5">
        <f t="shared" si="84"/>
        <v>4.403430338617155E-3</v>
      </c>
      <c r="W191" s="1"/>
      <c r="X191" s="1">
        <f t="shared" si="85"/>
        <v>-8000</v>
      </c>
      <c r="Y191" s="1"/>
      <c r="Z191" s="5">
        <f t="shared" si="86"/>
        <v>-0.20100502512562815</v>
      </c>
    </row>
    <row r="192" spans="1:26" s="24" customFormat="1" hidden="1" outlineLevel="2" x14ac:dyDescent="0.25">
      <c r="A192" s="27"/>
      <c r="B192" s="11" t="str">
        <f>CONCATENATE("          ", "6408", " - ", "INVENTORY ADJUSTMENT")</f>
        <v xml:space="preserve">          6408 - INVENTORY ADJUSTMENT</v>
      </c>
      <c r="C192" s="11"/>
      <c r="D192" s="7">
        <v>3350</v>
      </c>
      <c r="E192" s="2"/>
      <c r="F192" s="6">
        <f t="shared" si="79"/>
        <v>8.6168087651310541E-3</v>
      </c>
      <c r="G192" s="2"/>
      <c r="H192" s="7">
        <v>4350</v>
      </c>
      <c r="I192" s="2"/>
      <c r="J192" s="6">
        <f t="shared" si="80"/>
        <v>5.59202153506776E-3</v>
      </c>
      <c r="K192" s="2"/>
      <c r="L192" s="7">
        <f t="shared" si="81"/>
        <v>-1000</v>
      </c>
      <c r="M192" s="2"/>
      <c r="N192" s="6">
        <f t="shared" si="82"/>
        <v>-0.22988505747126436</v>
      </c>
      <c r="O192" s="11"/>
      <c r="P192" s="7">
        <v>31800</v>
      </c>
      <c r="Q192" s="2"/>
      <c r="R192" s="6">
        <f t="shared" si="83"/>
        <v>5.6077241031624141E-3</v>
      </c>
      <c r="S192" s="2"/>
      <c r="T192" s="7">
        <v>39800</v>
      </c>
      <c r="U192" s="2"/>
      <c r="V192" s="6">
        <f t="shared" si="84"/>
        <v>4.403430338617155E-3</v>
      </c>
      <c r="W192" s="2"/>
      <c r="X192" s="7">
        <f t="shared" si="85"/>
        <v>-8000</v>
      </c>
      <c r="Y192" s="2"/>
      <c r="Z192" s="6">
        <f t="shared" si="86"/>
        <v>-0.20100502512562815</v>
      </c>
    </row>
    <row r="193" spans="1:26" s="28" customFormat="1" outlineLevel="1" collapsed="1" x14ac:dyDescent="0.25">
      <c r="A193" s="29"/>
      <c r="B193" s="14" t="str">
        <f>CONCATENATE("     ","Professional Services                             ")</f>
        <v xml:space="preserve">     Professional Services                             </v>
      </c>
      <c r="C193" s="14"/>
      <c r="D193" s="1">
        <f>SUM(OSRRefD22_14x_0)</f>
        <v>0</v>
      </c>
      <c r="E193" s="1"/>
      <c r="F193" s="5">
        <f t="shared" si="79"/>
        <v>0</v>
      </c>
      <c r="G193" s="1"/>
      <c r="H193" s="1">
        <f>SUM(OSRRefH22_14x_0)</f>
        <v>0</v>
      </c>
      <c r="I193" s="1"/>
      <c r="J193" s="5">
        <f t="shared" si="80"/>
        <v>0</v>
      </c>
      <c r="K193" s="1"/>
      <c r="L193" s="1">
        <f t="shared" si="81"/>
        <v>0</v>
      </c>
      <c r="M193" s="1"/>
      <c r="N193" s="5">
        <f t="shared" si="82"/>
        <v>0</v>
      </c>
      <c r="O193" s="14"/>
      <c r="P193" s="1">
        <f>SUM(OSRRefP22_14x_0)</f>
        <v>0</v>
      </c>
      <c r="Q193" s="1"/>
      <c r="R193" s="5">
        <f t="shared" si="83"/>
        <v>0</v>
      </c>
      <c r="S193" s="1"/>
      <c r="T193" s="1">
        <f>SUM(OSRRefT22_14x_0)</f>
        <v>7050</v>
      </c>
      <c r="U193" s="1"/>
      <c r="V193" s="5">
        <f t="shared" si="84"/>
        <v>7.8000462028268692E-4</v>
      </c>
      <c r="W193" s="1"/>
      <c r="X193" s="1">
        <f t="shared" si="85"/>
        <v>-7050</v>
      </c>
      <c r="Y193" s="1"/>
      <c r="Z193" s="5">
        <f t="shared" si="86"/>
        <v>-1</v>
      </c>
    </row>
    <row r="194" spans="1:26" s="24" customFormat="1" hidden="1" outlineLevel="2" x14ac:dyDescent="0.25">
      <c r="A194" s="27"/>
      <c r="B194" s="11" t="str">
        <f>CONCATENATE("          ", "6336", " - ", "PROFESSIONAL SERVICES")</f>
        <v xml:space="preserve">          6336 - PROFESSIONAL SERVICES</v>
      </c>
      <c r="C194" s="11"/>
      <c r="D194" s="7"/>
      <c r="E194" s="2"/>
      <c r="F194" s="6">
        <f t="shared" si="79"/>
        <v>0</v>
      </c>
      <c r="G194" s="2"/>
      <c r="H194" s="7">
        <v>0</v>
      </c>
      <c r="I194" s="2"/>
      <c r="J194" s="6">
        <f t="shared" si="80"/>
        <v>0</v>
      </c>
      <c r="K194" s="2"/>
      <c r="L194" s="7">
        <f t="shared" si="81"/>
        <v>0</v>
      </c>
      <c r="M194" s="2"/>
      <c r="N194" s="6">
        <f t="shared" si="82"/>
        <v>0</v>
      </c>
      <c r="O194" s="11"/>
      <c r="P194" s="7"/>
      <c r="Q194" s="2"/>
      <c r="R194" s="6">
        <f t="shared" si="83"/>
        <v>0</v>
      </c>
      <c r="S194" s="2"/>
      <c r="T194" s="7">
        <v>7050</v>
      </c>
      <c r="U194" s="2"/>
      <c r="V194" s="6">
        <f t="shared" si="84"/>
        <v>7.8000462028268692E-4</v>
      </c>
      <c r="W194" s="2"/>
      <c r="X194" s="7">
        <f t="shared" si="85"/>
        <v>-7050</v>
      </c>
      <c r="Y194" s="2"/>
      <c r="Z194" s="6">
        <f t="shared" si="86"/>
        <v>-1</v>
      </c>
    </row>
    <row r="195" spans="1:26" s="28" customFormat="1" outlineLevel="1" collapsed="1" x14ac:dyDescent="0.25">
      <c r="A195" s="29"/>
      <c r="B195" s="14" t="str">
        <f>CONCATENATE("     ","Rent                                              ")</f>
        <v xml:space="preserve">     Rent                                              </v>
      </c>
      <c r="C195" s="14"/>
      <c r="D195" s="1">
        <f>SUM(OSRRefD22_15x_0)</f>
        <v>6100</v>
      </c>
      <c r="E195" s="1"/>
      <c r="F195" s="5">
        <f t="shared" si="79"/>
        <v>1.5690308497701321E-2</v>
      </c>
      <c r="G195" s="1"/>
      <c r="H195" s="1">
        <f>SUM(OSRRefH22_15x_0)</f>
        <v>6100</v>
      </c>
      <c r="I195" s="1"/>
      <c r="J195" s="5">
        <f t="shared" si="80"/>
        <v>7.8416853710145604E-3</v>
      </c>
      <c r="K195" s="1"/>
      <c r="L195" s="1">
        <f t="shared" si="81"/>
        <v>0</v>
      </c>
      <c r="M195" s="1"/>
      <c r="N195" s="5">
        <f t="shared" si="82"/>
        <v>0</v>
      </c>
      <c r="O195" s="14"/>
      <c r="P195" s="1">
        <f>SUM(OSRRefP22_15x_0)</f>
        <v>48800</v>
      </c>
      <c r="Q195" s="1"/>
      <c r="R195" s="5">
        <f t="shared" si="83"/>
        <v>8.6055640325259693E-3</v>
      </c>
      <c r="S195" s="1"/>
      <c r="T195" s="1">
        <f>SUM(OSRRefT22_15x_0)</f>
        <v>48801</v>
      </c>
      <c r="U195" s="1"/>
      <c r="V195" s="5">
        <f t="shared" si="84"/>
        <v>5.3992915566546673E-3</v>
      </c>
      <c r="W195" s="1"/>
      <c r="X195" s="1">
        <f t="shared" si="85"/>
        <v>-1</v>
      </c>
      <c r="Y195" s="1"/>
      <c r="Z195" s="5">
        <f t="shared" si="86"/>
        <v>-2.0491383373291532E-5</v>
      </c>
    </row>
    <row r="196" spans="1:26" s="24" customFormat="1" hidden="1" outlineLevel="2" x14ac:dyDescent="0.25">
      <c r="A196" s="27"/>
      <c r="B196" s="11" t="str">
        <f>CONCATENATE("          ", "6273", " - ", "RENT")</f>
        <v xml:space="preserve">          6273 - RENT</v>
      </c>
      <c r="C196" s="11"/>
      <c r="D196" s="7">
        <v>6100</v>
      </c>
      <c r="E196" s="2"/>
      <c r="F196" s="6">
        <f t="shared" si="79"/>
        <v>1.5690308497701321E-2</v>
      </c>
      <c r="G196" s="2"/>
      <c r="H196" s="7">
        <v>6100</v>
      </c>
      <c r="I196" s="2"/>
      <c r="J196" s="6">
        <f t="shared" si="80"/>
        <v>7.8416853710145604E-3</v>
      </c>
      <c r="K196" s="2"/>
      <c r="L196" s="7">
        <f t="shared" si="81"/>
        <v>0</v>
      </c>
      <c r="M196" s="2"/>
      <c r="N196" s="6">
        <f t="shared" si="82"/>
        <v>0</v>
      </c>
      <c r="O196" s="11"/>
      <c r="P196" s="7">
        <v>48800</v>
      </c>
      <c r="Q196" s="2"/>
      <c r="R196" s="6">
        <f t="shared" si="83"/>
        <v>8.6055640325259693E-3</v>
      </c>
      <c r="S196" s="2"/>
      <c r="T196" s="7">
        <v>48801</v>
      </c>
      <c r="U196" s="2"/>
      <c r="V196" s="6">
        <f t="shared" si="84"/>
        <v>5.3992915566546673E-3</v>
      </c>
      <c r="W196" s="2"/>
      <c r="X196" s="7">
        <f t="shared" si="85"/>
        <v>-1</v>
      </c>
      <c r="Y196" s="2"/>
      <c r="Z196" s="6">
        <f t="shared" si="86"/>
        <v>-2.0491383373291532E-5</v>
      </c>
    </row>
    <row r="197" spans="1:26" s="28" customFormat="1" outlineLevel="1" collapsed="1" x14ac:dyDescent="0.25">
      <c r="A197" s="29"/>
      <c r="B197" s="14" t="str">
        <f>CONCATENATE("     ","Repair and Maintenance                            ")</f>
        <v xml:space="preserve">     Repair and Maintenance                            </v>
      </c>
      <c r="C197" s="14"/>
      <c r="D197" s="1">
        <f>SUM(OSRRefD22_16x_0)</f>
        <v>16129.08</v>
      </c>
      <c r="E197" s="1"/>
      <c r="F197" s="5">
        <f t="shared" si="79"/>
        <v>4.1486924751492529E-2</v>
      </c>
      <c r="G197" s="1"/>
      <c r="H197" s="1">
        <f>SUM(OSRRefH22_16x_0)</f>
        <v>14660</v>
      </c>
      <c r="I197" s="1"/>
      <c r="J197" s="5">
        <f t="shared" si="80"/>
        <v>1.8845755334274336E-2</v>
      </c>
      <c r="K197" s="1"/>
      <c r="L197" s="1">
        <f t="shared" si="81"/>
        <v>1469.08</v>
      </c>
      <c r="M197" s="1"/>
      <c r="N197" s="5">
        <f t="shared" si="82"/>
        <v>0.10021009549795361</v>
      </c>
      <c r="O197" s="14"/>
      <c r="P197" s="1">
        <f>SUM(OSRRefP22_16x_0)</f>
        <v>128956.4</v>
      </c>
      <c r="Q197" s="1"/>
      <c r="R197" s="5">
        <f t="shared" si="83"/>
        <v>2.2740626180410489E-2</v>
      </c>
      <c r="S197" s="1"/>
      <c r="T197" s="1">
        <f>SUM(OSRRefT22_16x_0)</f>
        <v>161435</v>
      </c>
      <c r="U197" s="1"/>
      <c r="V197" s="5">
        <f t="shared" si="84"/>
        <v>1.7860999414941216E-2</v>
      </c>
      <c r="W197" s="1"/>
      <c r="X197" s="1">
        <f t="shared" si="85"/>
        <v>-32478.600000000006</v>
      </c>
      <c r="Y197" s="1"/>
      <c r="Z197" s="5">
        <f t="shared" si="86"/>
        <v>-0.20118685539071457</v>
      </c>
    </row>
    <row r="198" spans="1:26" s="24" customFormat="1" hidden="1" outlineLevel="2" x14ac:dyDescent="0.25">
      <c r="A198" s="27"/>
      <c r="B198" s="11" t="str">
        <f>CONCATENATE("          ", "6371", " - ", "COMPUTER SOFTWARE MAINTENANCE")</f>
        <v xml:space="preserve">          6371 - COMPUTER SOFTWARE MAINTENANCE</v>
      </c>
      <c r="C198" s="11"/>
      <c r="D198" s="7">
        <v>1331.25</v>
      </c>
      <c r="E198" s="2"/>
      <c r="F198" s="6">
        <f t="shared" si="79"/>
        <v>3.4242169159942435E-3</v>
      </c>
      <c r="G198" s="2"/>
      <c r="H198" s="7"/>
      <c r="I198" s="2"/>
      <c r="J198" s="6">
        <f t="shared" si="80"/>
        <v>0</v>
      </c>
      <c r="K198" s="2"/>
      <c r="L198" s="7">
        <f t="shared" si="81"/>
        <v>1331.25</v>
      </c>
      <c r="M198" s="2"/>
      <c r="N198" s="6">
        <f t="shared" si="82"/>
        <v>0</v>
      </c>
      <c r="O198" s="11"/>
      <c r="P198" s="7">
        <v>59767.719999999994</v>
      </c>
      <c r="Q198" s="2"/>
      <c r="R198" s="6">
        <f t="shared" si="83"/>
        <v>1.0539650441354159E-2</v>
      </c>
      <c r="S198" s="2"/>
      <c r="T198" s="7">
        <v>45000</v>
      </c>
      <c r="U198" s="2"/>
      <c r="V198" s="6">
        <f t="shared" si="84"/>
        <v>4.9787528954214058E-3</v>
      </c>
      <c r="W198" s="2"/>
      <c r="X198" s="7">
        <f t="shared" si="85"/>
        <v>14767.719999999994</v>
      </c>
      <c r="Y198" s="2"/>
      <c r="Z198" s="6">
        <f t="shared" si="86"/>
        <v>0.32817155555555544</v>
      </c>
    </row>
    <row r="199" spans="1:26" s="24" customFormat="1" hidden="1" outlineLevel="2" x14ac:dyDescent="0.25">
      <c r="A199" s="27"/>
      <c r="B199" s="11" t="str">
        <f>CONCATENATE("          ", "6372", " - ", "COMPUTER HARDWARE MAINTENANCE")</f>
        <v xml:space="preserve">          6372 - COMPUTER HARDWARE MAINTENANCE</v>
      </c>
      <c r="C199" s="11"/>
      <c r="D199" s="7">
        <v>-1.1499999999999999</v>
      </c>
      <c r="E199" s="2"/>
      <c r="F199" s="6">
        <f t="shared" si="79"/>
        <v>-2.9580089790748391E-6</v>
      </c>
      <c r="G199" s="2"/>
      <c r="H199" s="7"/>
      <c r="I199" s="2"/>
      <c r="J199" s="6">
        <f t="shared" si="80"/>
        <v>0</v>
      </c>
      <c r="K199" s="2"/>
      <c r="L199" s="7">
        <f t="shared" si="81"/>
        <v>-1.1499999999999999</v>
      </c>
      <c r="M199" s="2"/>
      <c r="N199" s="6">
        <f t="shared" si="82"/>
        <v>0</v>
      </c>
      <c r="O199" s="11"/>
      <c r="P199" s="7">
        <v>-1.1499999999999999</v>
      </c>
      <c r="Q199" s="2"/>
      <c r="R199" s="6">
        <f t="shared" si="83"/>
        <v>-2.0279505404518163E-7</v>
      </c>
      <c r="S199" s="2"/>
      <c r="T199" s="7"/>
      <c r="U199" s="2"/>
      <c r="V199" s="6">
        <f t="shared" si="84"/>
        <v>0</v>
      </c>
      <c r="W199" s="2"/>
      <c r="X199" s="7">
        <f t="shared" si="85"/>
        <v>-1.1499999999999999</v>
      </c>
      <c r="Y199" s="2"/>
      <c r="Z199" s="6">
        <f t="shared" si="86"/>
        <v>0</v>
      </c>
    </row>
    <row r="200" spans="1:26" s="24" customFormat="1" hidden="1" outlineLevel="2" x14ac:dyDescent="0.25">
      <c r="A200" s="27"/>
      <c r="B200" s="11" t="str">
        <f>CONCATENATE("          ", "6373", " - ", "MAINTENANCE CONTRACTS")</f>
        <v xml:space="preserve">          6373 - MAINTENANCE CONTRACTS</v>
      </c>
      <c r="C200" s="11"/>
      <c r="D200" s="7">
        <v>3372.5</v>
      </c>
      <c r="E200" s="2"/>
      <c r="F200" s="6">
        <f t="shared" si="79"/>
        <v>8.6746828538520841E-3</v>
      </c>
      <c r="G200" s="2"/>
      <c r="H200" s="7">
        <v>6040</v>
      </c>
      <c r="I200" s="2"/>
      <c r="J200" s="6">
        <f t="shared" si="80"/>
        <v>7.7645540394963835E-3</v>
      </c>
      <c r="K200" s="2"/>
      <c r="L200" s="7">
        <f t="shared" si="81"/>
        <v>-2667.5</v>
      </c>
      <c r="M200" s="2"/>
      <c r="N200" s="6">
        <f t="shared" si="82"/>
        <v>-0.44163907284768211</v>
      </c>
      <c r="O200" s="11"/>
      <c r="P200" s="7">
        <v>43426.68</v>
      </c>
      <c r="Q200" s="2"/>
      <c r="R200" s="6">
        <f t="shared" si="83"/>
        <v>7.6580138413937472E-3</v>
      </c>
      <c r="S200" s="2"/>
      <c r="T200" s="7">
        <v>48720</v>
      </c>
      <c r="U200" s="2"/>
      <c r="V200" s="6">
        <f t="shared" si="84"/>
        <v>5.3903298014429087E-3</v>
      </c>
      <c r="W200" s="2"/>
      <c r="X200" s="7">
        <f t="shared" si="85"/>
        <v>-5293.32</v>
      </c>
      <c r="Y200" s="2"/>
      <c r="Z200" s="6">
        <f t="shared" si="86"/>
        <v>-0.10864778325123152</v>
      </c>
    </row>
    <row r="201" spans="1:26" s="24" customFormat="1" hidden="1" outlineLevel="2" x14ac:dyDescent="0.25">
      <c r="A201" s="27"/>
      <c r="B201" s="11" t="str">
        <f>CONCATENATE("          ", "6375", " - ", "OUTSIDE REPAIRS &amp; MAINTENANCE")</f>
        <v xml:space="preserve">          6375 - OUTSIDE REPAIRS &amp; MAINTENANCE</v>
      </c>
      <c r="C201" s="11"/>
      <c r="D201" s="7">
        <v>11426.48</v>
      </c>
      <c r="E201" s="2"/>
      <c r="F201" s="6">
        <f t="shared" si="79"/>
        <v>2.9390982990625279E-2</v>
      </c>
      <c r="G201" s="2"/>
      <c r="H201" s="7">
        <v>8620</v>
      </c>
      <c r="I201" s="2"/>
      <c r="J201" s="6">
        <f t="shared" si="80"/>
        <v>1.1081201294777951E-2</v>
      </c>
      <c r="K201" s="2"/>
      <c r="L201" s="7">
        <f t="shared" si="81"/>
        <v>2806.4799999999996</v>
      </c>
      <c r="M201" s="2"/>
      <c r="N201" s="6">
        <f t="shared" si="82"/>
        <v>0.32557772621809739</v>
      </c>
      <c r="O201" s="11"/>
      <c r="P201" s="7">
        <v>25763.15</v>
      </c>
      <c r="Q201" s="2"/>
      <c r="R201" s="6">
        <f t="shared" si="83"/>
        <v>4.5431646927166277E-3</v>
      </c>
      <c r="S201" s="2"/>
      <c r="T201" s="7">
        <v>67715</v>
      </c>
      <c r="U201" s="2"/>
      <c r="V201" s="6">
        <f t="shared" si="84"/>
        <v>7.4919167180769004E-3</v>
      </c>
      <c r="W201" s="2"/>
      <c r="X201" s="7">
        <f t="shared" si="85"/>
        <v>-41951.85</v>
      </c>
      <c r="Y201" s="2"/>
      <c r="Z201" s="6">
        <f t="shared" si="86"/>
        <v>-0.61953555342243227</v>
      </c>
    </row>
    <row r="202" spans="1:26" s="28" customFormat="1" outlineLevel="1" collapsed="1" x14ac:dyDescent="0.25">
      <c r="A202" s="29"/>
      <c r="B202" s="14" t="str">
        <f>CONCATENATE("     ","Royalty &amp; Commissions                             ")</f>
        <v xml:space="preserve">     Royalty &amp; Commissions                             </v>
      </c>
      <c r="C202" s="14"/>
      <c r="D202" s="1">
        <f>SUM(OSRRefD22_17x_0)</f>
        <v>468.34</v>
      </c>
      <c r="E202" s="1"/>
      <c r="F202" s="5">
        <f t="shared" ref="F202:F206" si="87">IF(D$12=0,0,D202/D$12)</f>
        <v>1.2046555871825307E-3</v>
      </c>
      <c r="G202" s="1"/>
      <c r="H202" s="1">
        <f>SUM(OSRRefH22_17x_0)</f>
        <v>15571</v>
      </c>
      <c r="I202" s="1"/>
      <c r="J202" s="5">
        <f t="shared" ref="J202:J206" si="88">IF(H$12=0,0,H202/H$12)</f>
        <v>2.0016866051158641E-2</v>
      </c>
      <c r="K202" s="1"/>
      <c r="L202" s="1">
        <f t="shared" ref="L202:L206" si="89">+D202-H202</f>
        <v>-15102.66</v>
      </c>
      <c r="M202" s="1"/>
      <c r="N202" s="5">
        <f t="shared" ref="N202:N206" si="90">IF(H202=0,0,L202/H202)</f>
        <v>-0.96992229143921393</v>
      </c>
      <c r="O202" s="14"/>
      <c r="P202" s="1">
        <f>SUM(OSRRefP22_17x_0)</f>
        <v>36833.990000000005</v>
      </c>
      <c r="Q202" s="1"/>
      <c r="R202" s="5">
        <f t="shared" ref="R202:R206" si="91">IF(P$12=0,0,P202/P$12)</f>
        <v>6.4954356458692885E-3</v>
      </c>
      <c r="S202" s="1"/>
      <c r="T202" s="1">
        <f>SUM(OSRRefT22_17x_0)</f>
        <v>69518</v>
      </c>
      <c r="U202" s="1"/>
      <c r="V202" s="5">
        <f t="shared" ref="V202:V206" si="92">IF(T$12=0,0,T202/T$12)</f>
        <v>7.6913987507534511E-3</v>
      </c>
      <c r="W202" s="1"/>
      <c r="X202" s="1">
        <f t="shared" ref="X202:X206" si="93">+P202-T202</f>
        <v>-32684.009999999995</v>
      </c>
      <c r="Y202" s="1"/>
      <c r="Z202" s="5">
        <f t="shared" ref="Z202:Z206" si="94">IF(T202=0,0,X202/T202)</f>
        <v>-0.47015175925659536</v>
      </c>
    </row>
    <row r="203" spans="1:26" s="24" customFormat="1" hidden="1" outlineLevel="2" x14ac:dyDescent="0.25">
      <c r="A203" s="27"/>
      <c r="B203" s="11" t="str">
        <f>CONCATENATE("          ", "6252", " - ", "ROYALTY DUE CSTV")</f>
        <v xml:space="preserve">          6252 - ROYALTY DUE CSTV</v>
      </c>
      <c r="C203" s="11"/>
      <c r="D203" s="7"/>
      <c r="E203" s="2"/>
      <c r="F203" s="6">
        <f t="shared" si="87"/>
        <v>0</v>
      </c>
      <c r="G203" s="2"/>
      <c r="H203" s="7">
        <v>1085</v>
      </c>
      <c r="I203" s="2"/>
      <c r="J203" s="6">
        <f t="shared" si="88"/>
        <v>1.394791578287016E-3</v>
      </c>
      <c r="K203" s="2"/>
      <c r="L203" s="7">
        <f t="shared" si="89"/>
        <v>-1085</v>
      </c>
      <c r="M203" s="2"/>
      <c r="N203" s="6">
        <f t="shared" si="90"/>
        <v>-1</v>
      </c>
      <c r="O203" s="11"/>
      <c r="P203" s="7"/>
      <c r="Q203" s="2"/>
      <c r="R203" s="6">
        <f t="shared" si="91"/>
        <v>0</v>
      </c>
      <c r="S203" s="2"/>
      <c r="T203" s="7">
        <v>8680</v>
      </c>
      <c r="U203" s="2"/>
      <c r="V203" s="6">
        <f t="shared" si="92"/>
        <v>9.6034611405017344E-4</v>
      </c>
      <c r="W203" s="2"/>
      <c r="X203" s="7">
        <f t="shared" si="93"/>
        <v>-8680</v>
      </c>
      <c r="Y203" s="2"/>
      <c r="Z203" s="6">
        <f t="shared" si="94"/>
        <v>-1</v>
      </c>
    </row>
    <row r="204" spans="1:26" s="24" customFormat="1" hidden="1" outlineLevel="2" x14ac:dyDescent="0.25">
      <c r="A204" s="27"/>
      <c r="B204" s="11" t="str">
        <f>CONCATENATE("          ", "6253", " - ", "ROYALTY DUE ATHLETICS-LRG")</f>
        <v xml:space="preserve">          6253 - ROYALTY DUE ATHLETICS-LRG</v>
      </c>
      <c r="C204" s="11"/>
      <c r="D204" s="7"/>
      <c r="E204" s="2"/>
      <c r="F204" s="6">
        <f t="shared" si="87"/>
        <v>0</v>
      </c>
      <c r="G204" s="2"/>
      <c r="H204" s="7">
        <v>4037</v>
      </c>
      <c r="I204" s="2"/>
      <c r="J204" s="6">
        <f t="shared" si="88"/>
        <v>5.1896530889812753E-3</v>
      </c>
      <c r="K204" s="2"/>
      <c r="L204" s="7">
        <f t="shared" si="89"/>
        <v>-4037</v>
      </c>
      <c r="M204" s="2"/>
      <c r="N204" s="6">
        <f t="shared" si="90"/>
        <v>-1</v>
      </c>
      <c r="O204" s="11"/>
      <c r="P204" s="7">
        <v>26197.58</v>
      </c>
      <c r="Q204" s="2"/>
      <c r="R204" s="6">
        <f t="shared" si="91"/>
        <v>4.6197736103938871E-3</v>
      </c>
      <c r="S204" s="2"/>
      <c r="T204" s="7">
        <v>32296</v>
      </c>
      <c r="U204" s="2"/>
      <c r="V204" s="6">
        <f t="shared" si="92"/>
        <v>3.5731956335673274E-3</v>
      </c>
      <c r="W204" s="2"/>
      <c r="X204" s="7">
        <f t="shared" si="93"/>
        <v>-6098.4199999999983</v>
      </c>
      <c r="Y204" s="2"/>
      <c r="Z204" s="6">
        <f t="shared" si="94"/>
        <v>-0.18882895714639578</v>
      </c>
    </row>
    <row r="205" spans="1:26" s="24" customFormat="1" hidden="1" outlineLevel="2" x14ac:dyDescent="0.25">
      <c r="A205" s="27"/>
      <c r="B205" s="11" t="str">
        <f>CONCATENATE("          ", "6254", " - ", "ROYALTY &amp; COMMISSIONS")</f>
        <v xml:space="preserve">          6254 - ROYALTY &amp; COMMISSIONS</v>
      </c>
      <c r="C205" s="11"/>
      <c r="D205" s="7"/>
      <c r="E205" s="2"/>
      <c r="F205" s="6">
        <f t="shared" si="87"/>
        <v>0</v>
      </c>
      <c r="G205" s="2"/>
      <c r="H205" s="7">
        <v>1149</v>
      </c>
      <c r="I205" s="2"/>
      <c r="J205" s="6">
        <f t="shared" si="88"/>
        <v>1.4770649985730703E-3</v>
      </c>
      <c r="K205" s="2"/>
      <c r="L205" s="7">
        <f t="shared" si="89"/>
        <v>-1149</v>
      </c>
      <c r="M205" s="2"/>
      <c r="N205" s="6">
        <f t="shared" si="90"/>
        <v>-1</v>
      </c>
      <c r="O205" s="11"/>
      <c r="P205" s="7"/>
      <c r="Q205" s="2"/>
      <c r="R205" s="6">
        <f t="shared" si="91"/>
        <v>0</v>
      </c>
      <c r="S205" s="2"/>
      <c r="T205" s="7">
        <v>9192</v>
      </c>
      <c r="U205" s="2"/>
      <c r="V205" s="6">
        <f t="shared" si="92"/>
        <v>1.0169932581047458E-3</v>
      </c>
      <c r="W205" s="2"/>
      <c r="X205" s="7">
        <f t="shared" si="93"/>
        <v>-9192</v>
      </c>
      <c r="Y205" s="2"/>
      <c r="Z205" s="6">
        <f t="shared" si="94"/>
        <v>-1</v>
      </c>
    </row>
    <row r="206" spans="1:26" s="24" customFormat="1" hidden="1" outlineLevel="2" x14ac:dyDescent="0.25">
      <c r="A206" s="27"/>
      <c r="B206" s="11" t="str">
        <f>CONCATENATE("          ", "6259", " - ", "ROYALTY &amp; COMMISSIONS")</f>
        <v xml:space="preserve">          6259 - ROYALTY &amp; COMMISSIONS</v>
      </c>
      <c r="C206" s="11"/>
      <c r="D206" s="7">
        <v>468.34</v>
      </c>
      <c r="E206" s="2"/>
      <c r="F206" s="6">
        <f t="shared" si="87"/>
        <v>1.2046555871825307E-3</v>
      </c>
      <c r="G206" s="2"/>
      <c r="H206" s="7">
        <v>9300</v>
      </c>
      <c r="I206" s="2"/>
      <c r="J206" s="6">
        <f t="shared" si="88"/>
        <v>1.195535638531728E-2</v>
      </c>
      <c r="K206" s="2"/>
      <c r="L206" s="7">
        <f t="shared" si="89"/>
        <v>-8831.66</v>
      </c>
      <c r="M206" s="2"/>
      <c r="N206" s="6">
        <f t="shared" si="90"/>
        <v>-0.94964086021505378</v>
      </c>
      <c r="O206" s="11"/>
      <c r="P206" s="7">
        <v>10636.41</v>
      </c>
      <c r="Q206" s="2"/>
      <c r="R206" s="6">
        <f t="shared" si="91"/>
        <v>1.8756620354754003E-3</v>
      </c>
      <c r="S206" s="2"/>
      <c r="T206" s="7">
        <v>19350</v>
      </c>
      <c r="U206" s="2"/>
      <c r="V206" s="6">
        <f t="shared" si="92"/>
        <v>2.1408637450312045E-3</v>
      </c>
      <c r="W206" s="2"/>
      <c r="X206" s="7">
        <f t="shared" si="93"/>
        <v>-8713.59</v>
      </c>
      <c r="Y206" s="2"/>
      <c r="Z206" s="6">
        <f t="shared" si="94"/>
        <v>-0.45031472868217054</v>
      </c>
    </row>
    <row r="207" spans="1:26" s="28" customFormat="1" outlineLevel="1" collapsed="1" x14ac:dyDescent="0.25">
      <c r="A207" s="29"/>
      <c r="B207" s="14" t="str">
        <f>CONCATENATE("     ","Services                                          ")</f>
        <v xml:space="preserve">     Services                                          </v>
      </c>
      <c r="C207" s="14"/>
      <c r="D207" s="1">
        <f>SUM(OSRRefD22_18x_0)</f>
        <v>3932.57</v>
      </c>
      <c r="E207" s="1"/>
      <c r="F207" s="5">
        <f t="shared" ref="F207:F211" si="95">IF(D$12=0,0,D207/D$12)</f>
        <v>1.0115284670295949E-2</v>
      </c>
      <c r="G207" s="1"/>
      <c r="H207" s="1">
        <f>SUM(OSRRefH22_18x_0)</f>
        <v>4729</v>
      </c>
      <c r="I207" s="1"/>
      <c r="J207" s="5">
        <f t="shared" ref="J207:J211" si="96">IF(H$12=0,0,H207/H$12)</f>
        <v>6.079234445824238E-3</v>
      </c>
      <c r="K207" s="1"/>
      <c r="L207" s="1">
        <f t="shared" ref="L207:L211" si="97">+D207-H207</f>
        <v>-796.42999999999984</v>
      </c>
      <c r="M207" s="1"/>
      <c r="N207" s="5">
        <f t="shared" ref="N207:N211" si="98">IF(H207=0,0,L207/H207)</f>
        <v>-0.16841404102347216</v>
      </c>
      <c r="O207" s="14"/>
      <c r="P207" s="1">
        <f>SUM(OSRRefP22_18x_0)</f>
        <v>28661.89</v>
      </c>
      <c r="Q207" s="1"/>
      <c r="R207" s="5">
        <f t="shared" ref="R207:R211" si="99">IF(P$12=0,0,P207/P$12)</f>
        <v>5.054338723119175E-3</v>
      </c>
      <c r="S207" s="1"/>
      <c r="T207" s="1">
        <f>SUM(OSRRefT22_18x_0)</f>
        <v>37993</v>
      </c>
      <c r="U207" s="1"/>
      <c r="V207" s="5">
        <f t="shared" ref="V207:V211" si="100">IF(T$12=0,0,T207/T$12)</f>
        <v>4.2035057501276776E-3</v>
      </c>
      <c r="W207" s="1"/>
      <c r="X207" s="1">
        <f t="shared" ref="X207:X211" si="101">+P207-T207</f>
        <v>-9331.11</v>
      </c>
      <c r="Y207" s="1"/>
      <c r="Z207" s="5">
        <f t="shared" ref="Z207:Z211" si="102">IF(T207=0,0,X207/T207)</f>
        <v>-0.24560076856262997</v>
      </c>
    </row>
    <row r="208" spans="1:26" s="24" customFormat="1" hidden="1" outlineLevel="2" x14ac:dyDescent="0.25">
      <c r="A208" s="27"/>
      <c r="B208" s="11" t="str">
        <f>CONCATENATE("          ", "6282", " - ", "JANITORIAL/EXTERMINATOR EXPENS")</f>
        <v xml:space="preserve">          6282 - JANITORIAL/EXTERMINATOR EXPENS</v>
      </c>
      <c r="C208" s="11"/>
      <c r="D208" s="7"/>
      <c r="E208" s="2"/>
      <c r="F208" s="6">
        <f t="shared" si="95"/>
        <v>0</v>
      </c>
      <c r="G208" s="2"/>
      <c r="H208" s="7">
        <v>4000</v>
      </c>
      <c r="I208" s="2"/>
      <c r="J208" s="6">
        <f t="shared" si="96"/>
        <v>5.1420887678784001E-3</v>
      </c>
      <c r="K208" s="2"/>
      <c r="L208" s="7">
        <f t="shared" si="97"/>
        <v>-4000</v>
      </c>
      <c r="M208" s="2"/>
      <c r="N208" s="6">
        <f t="shared" si="98"/>
        <v>-1</v>
      </c>
      <c r="O208" s="11"/>
      <c r="P208" s="7">
        <v>6953.12</v>
      </c>
      <c r="Q208" s="2"/>
      <c r="R208" s="6">
        <f t="shared" si="99"/>
        <v>1.2261376923327248E-3</v>
      </c>
      <c r="S208" s="2"/>
      <c r="T208" s="7">
        <v>32000</v>
      </c>
      <c r="U208" s="2"/>
      <c r="V208" s="6">
        <f t="shared" si="100"/>
        <v>3.5404465034107775E-3</v>
      </c>
      <c r="W208" s="2"/>
      <c r="X208" s="7">
        <f t="shared" si="101"/>
        <v>-25046.880000000001</v>
      </c>
      <c r="Y208" s="2"/>
      <c r="Z208" s="6">
        <f t="shared" si="102"/>
        <v>-0.78271500000000005</v>
      </c>
    </row>
    <row r="209" spans="1:26" s="24" customFormat="1" hidden="1" outlineLevel="2" x14ac:dyDescent="0.25">
      <c r="A209" s="27"/>
      <c r="B209" s="11" t="str">
        <f>CONCATENATE("          ", "6283", " - ", "PLANT SERVICE")</f>
        <v xml:space="preserve">          6283 - PLANT SERVICE</v>
      </c>
      <c r="C209" s="11"/>
      <c r="D209" s="7"/>
      <c r="E209" s="2"/>
      <c r="F209" s="6">
        <f t="shared" si="95"/>
        <v>0</v>
      </c>
      <c r="G209" s="2"/>
      <c r="H209" s="7">
        <v>0</v>
      </c>
      <c r="I209" s="2"/>
      <c r="J209" s="6">
        <f t="shared" si="96"/>
        <v>0</v>
      </c>
      <c r="K209" s="2"/>
      <c r="L209" s="7">
        <f t="shared" si="97"/>
        <v>0</v>
      </c>
      <c r="M209" s="2"/>
      <c r="N209" s="6">
        <f t="shared" si="98"/>
        <v>0</v>
      </c>
      <c r="O209" s="11"/>
      <c r="P209" s="7">
        <v>171.31</v>
      </c>
      <c r="Q209" s="2"/>
      <c r="R209" s="6">
        <f t="shared" si="99"/>
        <v>3.02094093117218E-5</v>
      </c>
      <c r="S209" s="2"/>
      <c r="T209" s="7">
        <v>0</v>
      </c>
      <c r="U209" s="2"/>
      <c r="V209" s="6">
        <f t="shared" si="100"/>
        <v>0</v>
      </c>
      <c r="W209" s="2"/>
      <c r="X209" s="7">
        <f t="shared" si="101"/>
        <v>171.31</v>
      </c>
      <c r="Y209" s="2"/>
      <c r="Z209" s="6">
        <f t="shared" si="102"/>
        <v>0</v>
      </c>
    </row>
    <row r="210" spans="1:26" s="24" customFormat="1" hidden="1" outlineLevel="2" x14ac:dyDescent="0.25">
      <c r="A210" s="27"/>
      <c r="B210" s="11" t="str">
        <f>CONCATENATE("          ", "6284", " - ", "TRASH REMOVAL EXPENSE")</f>
        <v xml:space="preserve">          6284 - TRASH REMOVAL EXPENSE</v>
      </c>
      <c r="C210" s="11"/>
      <c r="D210" s="7">
        <v>142.57</v>
      </c>
      <c r="E210" s="2"/>
      <c r="F210" s="6">
        <f t="shared" si="95"/>
        <v>3.6671594795365203E-4</v>
      </c>
      <c r="G210" s="2"/>
      <c r="H210" s="7">
        <v>55</v>
      </c>
      <c r="I210" s="2"/>
      <c r="J210" s="6">
        <f t="shared" si="96"/>
        <v>7.0703720558328001E-5</v>
      </c>
      <c r="K210" s="2"/>
      <c r="L210" s="7">
        <f t="shared" si="97"/>
        <v>87.57</v>
      </c>
      <c r="M210" s="2"/>
      <c r="N210" s="6">
        <f t="shared" si="98"/>
        <v>1.5921818181818181</v>
      </c>
      <c r="O210" s="11"/>
      <c r="P210" s="7">
        <v>1155.58</v>
      </c>
      <c r="Q210" s="2"/>
      <c r="R210" s="6">
        <f t="shared" si="99"/>
        <v>2.037790509161139E-4</v>
      </c>
      <c r="S210" s="2"/>
      <c r="T210" s="7">
        <v>550</v>
      </c>
      <c r="U210" s="2"/>
      <c r="V210" s="6">
        <f t="shared" si="100"/>
        <v>6.085142427737274E-5</v>
      </c>
      <c r="W210" s="2"/>
      <c r="X210" s="7">
        <f t="shared" si="101"/>
        <v>605.57999999999993</v>
      </c>
      <c r="Y210" s="2"/>
      <c r="Z210" s="6">
        <f t="shared" si="102"/>
        <v>1.1010545454545453</v>
      </c>
    </row>
    <row r="211" spans="1:26" s="24" customFormat="1" hidden="1" outlineLevel="2" x14ac:dyDescent="0.25">
      <c r="A211" s="27"/>
      <c r="B211" s="11" t="str">
        <f>CONCATENATE("          ", "6285", " - ", "JANITORIAL SERVICES")</f>
        <v xml:space="preserve">          6285 - JANITORIAL SERVICES</v>
      </c>
      <c r="C211" s="11"/>
      <c r="D211" s="7">
        <v>3790</v>
      </c>
      <c r="E211" s="2"/>
      <c r="F211" s="6">
        <f t="shared" si="95"/>
        <v>9.7485687223422962E-3</v>
      </c>
      <c r="G211" s="2"/>
      <c r="H211" s="7">
        <v>674</v>
      </c>
      <c r="I211" s="2"/>
      <c r="J211" s="6">
        <f t="shared" si="96"/>
        <v>8.6644195738751033E-4</v>
      </c>
      <c r="K211" s="2"/>
      <c r="L211" s="7">
        <f t="shared" si="97"/>
        <v>3116</v>
      </c>
      <c r="M211" s="2"/>
      <c r="N211" s="6">
        <f t="shared" si="98"/>
        <v>4.6231454005934722</v>
      </c>
      <c r="O211" s="11"/>
      <c r="P211" s="7">
        <v>20381.88</v>
      </c>
      <c r="Q211" s="2"/>
      <c r="R211" s="6">
        <f t="shared" si="99"/>
        <v>3.594212570558615E-3</v>
      </c>
      <c r="S211" s="2"/>
      <c r="T211" s="7">
        <v>5443</v>
      </c>
      <c r="U211" s="2"/>
      <c r="V211" s="6">
        <f t="shared" si="100"/>
        <v>6.0220782243952697E-4</v>
      </c>
      <c r="W211" s="2"/>
      <c r="X211" s="7">
        <f t="shared" si="101"/>
        <v>14938.880000000001</v>
      </c>
      <c r="Y211" s="2"/>
      <c r="Z211" s="6">
        <f t="shared" si="102"/>
        <v>2.744604078633107</v>
      </c>
    </row>
    <row r="212" spans="1:26" s="28" customFormat="1" outlineLevel="1" collapsed="1" x14ac:dyDescent="0.25">
      <c r="A212" s="29"/>
      <c r="B212" s="14" t="str">
        <f>CONCATENATE("     ","Subscriptions &amp; Dues                              ")</f>
        <v xml:space="preserve">     Subscriptions &amp; Dues                              </v>
      </c>
      <c r="C212" s="14"/>
      <c r="D212" s="1">
        <f>SUM(OSRRefD22_19x_0)</f>
        <v>181.41</v>
      </c>
      <c r="E212" s="1"/>
      <c r="F212" s="5">
        <f t="shared" ref="F212:F214" si="103">IF(D$12=0,0,D212/D$12)</f>
        <v>4.666194859947536E-4</v>
      </c>
      <c r="G212" s="1"/>
      <c r="H212" s="1">
        <f>SUM(OSRRefH22_19x_0)</f>
        <v>1100</v>
      </c>
      <c r="I212" s="1"/>
      <c r="J212" s="5">
        <f t="shared" ref="J212:J214" si="104">IF(H$12=0,0,H212/H$12)</f>
        <v>1.41407441116656E-3</v>
      </c>
      <c r="K212" s="1"/>
      <c r="L212" s="1">
        <f t="shared" ref="L212:L214" si="105">+D212-H212</f>
        <v>-918.59</v>
      </c>
      <c r="M212" s="1"/>
      <c r="N212" s="5">
        <f t="shared" ref="N212:N214" si="106">IF(H212=0,0,L212/H212)</f>
        <v>-0.83508181818181826</v>
      </c>
      <c r="O212" s="14"/>
      <c r="P212" s="1">
        <f>SUM(OSRRefP22_19x_0)</f>
        <v>4026.54</v>
      </c>
      <c r="Q212" s="1"/>
      <c r="R212" s="5">
        <f t="shared" ref="R212:R214" si="107">IF(P$12=0,0,P212/P$12)</f>
        <v>7.10054258187031E-4</v>
      </c>
      <c r="S212" s="1"/>
      <c r="T212" s="1">
        <f>SUM(OSRRefT22_19x_0)</f>
        <v>10195</v>
      </c>
      <c r="U212" s="1"/>
      <c r="V212" s="5">
        <f t="shared" ref="V212:V214" si="108">IF(T$12=0,0,T212/T$12)</f>
        <v>1.1279641281960275E-3</v>
      </c>
      <c r="W212" s="1"/>
      <c r="X212" s="1">
        <f t="shared" ref="X212:X214" si="109">+P212-T212</f>
        <v>-6168.46</v>
      </c>
      <c r="Y212" s="1"/>
      <c r="Z212" s="5">
        <f t="shared" ref="Z212:Z214" si="110">IF(T212=0,0,X212/T212)</f>
        <v>-0.605047572339382</v>
      </c>
    </row>
    <row r="213" spans="1:26" s="24" customFormat="1" hidden="1" outlineLevel="2" x14ac:dyDescent="0.25">
      <c r="A213" s="27"/>
      <c r="B213" s="11" t="str">
        <f>CONCATENATE("          ", "6258", " - ", "MEMBERSHIP DUES")</f>
        <v xml:space="preserve">          6258 - MEMBERSHIP DUES</v>
      </c>
      <c r="C213" s="11"/>
      <c r="D213" s="7">
        <v>181.41</v>
      </c>
      <c r="E213" s="2"/>
      <c r="F213" s="6">
        <f t="shared" si="103"/>
        <v>4.666194859947536E-4</v>
      </c>
      <c r="G213" s="2"/>
      <c r="H213" s="7">
        <v>1100</v>
      </c>
      <c r="I213" s="2"/>
      <c r="J213" s="6">
        <f t="shared" si="104"/>
        <v>1.41407441116656E-3</v>
      </c>
      <c r="K213" s="2"/>
      <c r="L213" s="7">
        <f t="shared" si="105"/>
        <v>-918.59</v>
      </c>
      <c r="M213" s="2"/>
      <c r="N213" s="6">
        <f t="shared" si="106"/>
        <v>-0.83508181818181826</v>
      </c>
      <c r="O213" s="11"/>
      <c r="P213" s="7">
        <v>1873.73</v>
      </c>
      <c r="Q213" s="2"/>
      <c r="R213" s="6">
        <f t="shared" si="107"/>
        <v>3.3042015357919846E-4</v>
      </c>
      <c r="S213" s="2"/>
      <c r="T213" s="7">
        <v>10195</v>
      </c>
      <c r="U213" s="2"/>
      <c r="V213" s="6">
        <f t="shared" si="108"/>
        <v>1.1279641281960275E-3</v>
      </c>
      <c r="W213" s="2"/>
      <c r="X213" s="7">
        <f t="shared" si="109"/>
        <v>-8321.27</v>
      </c>
      <c r="Y213" s="2"/>
      <c r="Z213" s="6">
        <f t="shared" si="110"/>
        <v>-0.81621088769004413</v>
      </c>
    </row>
    <row r="214" spans="1:26" s="24" customFormat="1" hidden="1" outlineLevel="2" x14ac:dyDescent="0.25">
      <c r="A214" s="27"/>
      <c r="B214" s="11" t="str">
        <f>CONCATENATE("          ", "6275", " - ", "SUBSCRIPTIONS")</f>
        <v xml:space="preserve">          6275 - SUBSCRIPTIONS</v>
      </c>
      <c r="C214" s="11"/>
      <c r="D214" s="7"/>
      <c r="E214" s="2"/>
      <c r="F214" s="6">
        <f t="shared" si="103"/>
        <v>0</v>
      </c>
      <c r="G214" s="2"/>
      <c r="H214" s="7">
        <v>0</v>
      </c>
      <c r="I214" s="2"/>
      <c r="J214" s="6">
        <f t="shared" si="104"/>
        <v>0</v>
      </c>
      <c r="K214" s="2"/>
      <c r="L214" s="7">
        <f t="shared" si="105"/>
        <v>0</v>
      </c>
      <c r="M214" s="2"/>
      <c r="N214" s="6">
        <f t="shared" si="106"/>
        <v>0</v>
      </c>
      <c r="O214" s="11"/>
      <c r="P214" s="7">
        <v>2152.81</v>
      </c>
      <c r="Q214" s="2"/>
      <c r="R214" s="6">
        <f t="shared" si="107"/>
        <v>3.796341046078326E-4</v>
      </c>
      <c r="S214" s="2"/>
      <c r="T214" s="7">
        <v>0</v>
      </c>
      <c r="U214" s="2"/>
      <c r="V214" s="6">
        <f t="shared" si="108"/>
        <v>0</v>
      </c>
      <c r="W214" s="2"/>
      <c r="X214" s="7">
        <f t="shared" si="109"/>
        <v>2152.81</v>
      </c>
      <c r="Y214" s="2"/>
      <c r="Z214" s="6">
        <f t="shared" si="110"/>
        <v>0</v>
      </c>
    </row>
    <row r="215" spans="1:26" s="28" customFormat="1" outlineLevel="1" collapsed="1" x14ac:dyDescent="0.25">
      <c r="A215" s="29"/>
      <c r="B215" s="14" t="str">
        <f>CONCATENATE("     ","Supplies                                          ")</f>
        <v xml:space="preserve">     Supplies                                          </v>
      </c>
      <c r="C215" s="14"/>
      <c r="D215" s="1">
        <f>SUM(OSRRefD22_20x_0)</f>
        <v>7912.75</v>
      </c>
      <c r="E215" s="1"/>
      <c r="F215" s="5">
        <f t="shared" ref="F215:F224" si="111">IF(D$12=0,0,D215/D$12)</f>
        <v>2.0353030912325598E-2</v>
      </c>
      <c r="G215" s="1"/>
      <c r="H215" s="1">
        <f>SUM(OSRRefH22_20x_0)</f>
        <v>7720</v>
      </c>
      <c r="I215" s="1"/>
      <c r="J215" s="5">
        <f t="shared" ref="J215:J224" si="112">IF(H$12=0,0,H215/H$12)</f>
        <v>9.9242313220053117E-3</v>
      </c>
      <c r="K215" s="1"/>
      <c r="L215" s="1">
        <f t="shared" ref="L215:L224" si="113">+D215-H215</f>
        <v>192.75</v>
      </c>
      <c r="M215" s="1"/>
      <c r="N215" s="5">
        <f t="shared" ref="N215:N224" si="114">IF(H215=0,0,L215/H215)</f>
        <v>2.4967616580310881E-2</v>
      </c>
      <c r="O215" s="14"/>
      <c r="P215" s="1">
        <f>SUM(OSRRefP22_20x_0)</f>
        <v>100985.21000000002</v>
      </c>
      <c r="Q215" s="1"/>
      <c r="R215" s="5">
        <f t="shared" ref="R215:R224" si="115">IF(P$12=0,0,P215/P$12)</f>
        <v>1.7808087930186105E-2</v>
      </c>
      <c r="S215" s="1"/>
      <c r="T215" s="1">
        <f>SUM(OSRRefT22_20x_0)</f>
        <v>124645</v>
      </c>
      <c r="U215" s="1"/>
      <c r="V215" s="5">
        <f t="shared" ref="V215:V224" si="116">IF(T$12=0,0,T215/T$12)</f>
        <v>1.3790592325551137E-2</v>
      </c>
      <c r="W215" s="1"/>
      <c r="X215" s="1">
        <f t="shared" ref="X215:X224" si="117">+P215-T215</f>
        <v>-23659.789999999979</v>
      </c>
      <c r="Y215" s="1"/>
      <c r="Z215" s="5">
        <f t="shared" ref="Z215:Z224" si="118">IF(T215=0,0,X215/T215)</f>
        <v>-0.18981740142003273</v>
      </c>
    </row>
    <row r="216" spans="1:26" s="24" customFormat="1" hidden="1" outlineLevel="2" x14ac:dyDescent="0.25">
      <c r="A216" s="27"/>
      <c r="B216" s="11" t="str">
        <f>CONCATENATE("          ", "6234", " - ", "EXPENDABLE SUPPLIES &amp; EQUIPMEN")</f>
        <v xml:space="preserve">          6234 - EXPENDABLE SUPPLIES &amp; EQUIPMEN</v>
      </c>
      <c r="C216" s="11"/>
      <c r="D216" s="7"/>
      <c r="E216" s="2"/>
      <c r="F216" s="6">
        <f t="shared" si="111"/>
        <v>0</v>
      </c>
      <c r="G216" s="2"/>
      <c r="H216" s="7">
        <v>150</v>
      </c>
      <c r="I216" s="2"/>
      <c r="J216" s="6">
        <f t="shared" si="112"/>
        <v>1.9282832879543999E-4</v>
      </c>
      <c r="K216" s="2"/>
      <c r="L216" s="7">
        <f t="shared" si="113"/>
        <v>-150</v>
      </c>
      <c r="M216" s="2"/>
      <c r="N216" s="6">
        <f t="shared" si="114"/>
        <v>-1</v>
      </c>
      <c r="O216" s="11"/>
      <c r="P216" s="7">
        <v>-52.84</v>
      </c>
      <c r="Q216" s="2"/>
      <c r="R216" s="6">
        <f t="shared" si="115"/>
        <v>-9.3179918745629562E-6</v>
      </c>
      <c r="S216" s="2"/>
      <c r="T216" s="7">
        <v>1200</v>
      </c>
      <c r="U216" s="2"/>
      <c r="V216" s="6">
        <f t="shared" si="116"/>
        <v>1.3276674387790416E-4</v>
      </c>
      <c r="W216" s="2"/>
      <c r="X216" s="7">
        <f t="shared" si="117"/>
        <v>-1252.8399999999999</v>
      </c>
      <c r="Y216" s="2"/>
      <c r="Z216" s="6">
        <f t="shared" si="118"/>
        <v>-1.0440333333333334</v>
      </c>
    </row>
    <row r="217" spans="1:26" s="24" customFormat="1" hidden="1" outlineLevel="2" x14ac:dyDescent="0.25">
      <c r="A217" s="27"/>
      <c r="B217" s="11" t="str">
        <f>CONCATENATE("          ", "6235", " - ", "COVID-19 EXPENSES")</f>
        <v xml:space="preserve">          6235 - COVID-19 EXPENSES</v>
      </c>
      <c r="C217" s="11"/>
      <c r="D217" s="7">
        <v>2992.14</v>
      </c>
      <c r="E217" s="2"/>
      <c r="F217" s="6">
        <f t="shared" si="111"/>
        <v>7.6963278144773824E-3</v>
      </c>
      <c r="G217" s="2"/>
      <c r="H217" s="7">
        <v>500</v>
      </c>
      <c r="I217" s="2"/>
      <c r="J217" s="6">
        <f t="shared" si="112"/>
        <v>6.4276109598480002E-4</v>
      </c>
      <c r="K217" s="2"/>
      <c r="L217" s="7">
        <f t="shared" si="113"/>
        <v>2492.14</v>
      </c>
      <c r="M217" s="2"/>
      <c r="N217" s="6">
        <f t="shared" si="114"/>
        <v>4.98428</v>
      </c>
      <c r="O217" s="11"/>
      <c r="P217" s="7">
        <v>37959.29</v>
      </c>
      <c r="Q217" s="2"/>
      <c r="R217" s="6">
        <f t="shared" si="115"/>
        <v>6.6938750148406289E-3</v>
      </c>
      <c r="S217" s="2"/>
      <c r="T217" s="7">
        <v>63600</v>
      </c>
      <c r="U217" s="2"/>
      <c r="V217" s="6">
        <f t="shared" si="116"/>
        <v>7.0366374255289204E-3</v>
      </c>
      <c r="W217" s="2"/>
      <c r="X217" s="7">
        <f t="shared" si="117"/>
        <v>-25640.71</v>
      </c>
      <c r="Y217" s="2"/>
      <c r="Z217" s="6">
        <f t="shared" si="118"/>
        <v>-0.40315581761006286</v>
      </c>
    </row>
    <row r="218" spans="1:26" s="24" customFormat="1" hidden="1" outlineLevel="2" x14ac:dyDescent="0.25">
      <c r="A218" s="27"/>
      <c r="B218" s="11" t="str">
        <f>CONCATENATE("          ", "6237", " - ", "JANITORIAL SUPPLIES")</f>
        <v xml:space="preserve">          6237 - JANITORIAL SUPPLIES</v>
      </c>
      <c r="C218" s="11"/>
      <c r="D218" s="7"/>
      <c r="E218" s="2"/>
      <c r="F218" s="6">
        <f t="shared" si="111"/>
        <v>0</v>
      </c>
      <c r="G218" s="2"/>
      <c r="H218" s="7">
        <v>260</v>
      </c>
      <c r="I218" s="2"/>
      <c r="J218" s="6">
        <f t="shared" si="112"/>
        <v>3.3423576991209599E-4</v>
      </c>
      <c r="K218" s="2"/>
      <c r="L218" s="7">
        <f t="shared" si="113"/>
        <v>-260</v>
      </c>
      <c r="M218" s="2"/>
      <c r="N218" s="6">
        <f t="shared" si="114"/>
        <v>-1</v>
      </c>
      <c r="O218" s="11"/>
      <c r="P218" s="7">
        <v>2263.65</v>
      </c>
      <c r="Q218" s="2"/>
      <c r="R218" s="6">
        <f t="shared" si="115"/>
        <v>3.9918002094728298E-4</v>
      </c>
      <c r="S218" s="2"/>
      <c r="T218" s="7">
        <v>2140</v>
      </c>
      <c r="U218" s="2"/>
      <c r="V218" s="6">
        <f t="shared" si="116"/>
        <v>2.3676735991559576E-4</v>
      </c>
      <c r="W218" s="2"/>
      <c r="X218" s="7">
        <f t="shared" si="117"/>
        <v>123.65000000000009</v>
      </c>
      <c r="Y218" s="2"/>
      <c r="Z218" s="6">
        <f t="shared" si="118"/>
        <v>5.7780373831775741E-2</v>
      </c>
    </row>
    <row r="219" spans="1:26" s="24" customFormat="1" hidden="1" outlineLevel="2" x14ac:dyDescent="0.25">
      <c r="A219" s="27"/>
      <c r="B219" s="11" t="str">
        <f>CONCATENATE("          ", "6241", " - ", "OFFICE EXPENSE")</f>
        <v xml:space="preserve">          6241 - OFFICE EXPENSE</v>
      </c>
      <c r="C219" s="11"/>
      <c r="D219" s="7">
        <v>633.41999999999996</v>
      </c>
      <c r="E219" s="2"/>
      <c r="F219" s="6">
        <f t="shared" si="111"/>
        <v>1.6292713456744214E-3</v>
      </c>
      <c r="G219" s="2"/>
      <c r="H219" s="7">
        <v>735</v>
      </c>
      <c r="I219" s="2"/>
      <c r="J219" s="6">
        <f t="shared" si="112"/>
        <v>9.4485881109765597E-4</v>
      </c>
      <c r="K219" s="2"/>
      <c r="L219" s="7">
        <f t="shared" si="113"/>
        <v>-101.58000000000004</v>
      </c>
      <c r="M219" s="2"/>
      <c r="N219" s="6">
        <f t="shared" si="114"/>
        <v>-0.13820408163265313</v>
      </c>
      <c r="O219" s="11"/>
      <c r="P219" s="7">
        <v>11267.03</v>
      </c>
      <c r="Q219" s="2"/>
      <c r="R219" s="6">
        <f t="shared" si="115"/>
        <v>1.9868677893727679E-3</v>
      </c>
      <c r="S219" s="2"/>
      <c r="T219" s="7">
        <v>5480</v>
      </c>
      <c r="U219" s="2"/>
      <c r="V219" s="6">
        <f t="shared" si="116"/>
        <v>6.0630146370909571E-4</v>
      </c>
      <c r="W219" s="2"/>
      <c r="X219" s="7">
        <f t="shared" si="117"/>
        <v>5787.0300000000007</v>
      </c>
      <c r="Y219" s="2"/>
      <c r="Z219" s="6">
        <f t="shared" si="118"/>
        <v>1.0560273722627738</v>
      </c>
    </row>
    <row r="220" spans="1:26" s="24" customFormat="1" hidden="1" outlineLevel="2" x14ac:dyDescent="0.25">
      <c r="A220" s="27"/>
      <c r="B220" s="11" t="str">
        <f>CONCATENATE("          ", "6243", " - ", "PAPER SUPPLIES")</f>
        <v xml:space="preserve">          6243 - PAPER SUPPLIES</v>
      </c>
      <c r="C220" s="11"/>
      <c r="D220" s="7"/>
      <c r="E220" s="2"/>
      <c r="F220" s="6">
        <f t="shared" si="111"/>
        <v>0</v>
      </c>
      <c r="G220" s="2"/>
      <c r="H220" s="7">
        <v>550</v>
      </c>
      <c r="I220" s="2"/>
      <c r="J220" s="6">
        <f t="shared" si="112"/>
        <v>7.0703720558327999E-4</v>
      </c>
      <c r="K220" s="2"/>
      <c r="L220" s="7">
        <f t="shared" si="113"/>
        <v>-550</v>
      </c>
      <c r="M220" s="2"/>
      <c r="N220" s="6">
        <f t="shared" si="114"/>
        <v>-1</v>
      </c>
      <c r="O220" s="11"/>
      <c r="P220" s="7">
        <v>6173.4</v>
      </c>
      <c r="Q220" s="2"/>
      <c r="R220" s="6">
        <f t="shared" si="115"/>
        <v>1.0886391188195863E-3</v>
      </c>
      <c r="S220" s="2"/>
      <c r="T220" s="7">
        <v>11600</v>
      </c>
      <c r="U220" s="2"/>
      <c r="V220" s="6">
        <f t="shared" si="116"/>
        <v>1.2834118574864069E-3</v>
      </c>
      <c r="W220" s="2"/>
      <c r="X220" s="7">
        <f t="shared" si="117"/>
        <v>-5426.6</v>
      </c>
      <c r="Y220" s="2"/>
      <c r="Z220" s="6">
        <f t="shared" si="118"/>
        <v>-0.46781034482758621</v>
      </c>
    </row>
    <row r="221" spans="1:26" s="24" customFormat="1" hidden="1" outlineLevel="2" x14ac:dyDescent="0.25">
      <c r="A221" s="27"/>
      <c r="B221" s="11" t="str">
        <f>CONCATENATE("          ", "6244", " - ", "SAFETY SUPPLY EXPENSE")</f>
        <v xml:space="preserve">          6244 - SAFETY SUPPLY EXPENSE</v>
      </c>
      <c r="C221" s="11"/>
      <c r="D221" s="7"/>
      <c r="E221" s="2"/>
      <c r="F221" s="6">
        <f t="shared" si="111"/>
        <v>0</v>
      </c>
      <c r="G221" s="2"/>
      <c r="H221" s="7">
        <v>0</v>
      </c>
      <c r="I221" s="2"/>
      <c r="J221" s="6">
        <f t="shared" si="112"/>
        <v>0</v>
      </c>
      <c r="K221" s="2"/>
      <c r="L221" s="7">
        <f t="shared" si="113"/>
        <v>0</v>
      </c>
      <c r="M221" s="2"/>
      <c r="N221" s="6">
        <f t="shared" si="114"/>
        <v>0</v>
      </c>
      <c r="O221" s="11"/>
      <c r="P221" s="7"/>
      <c r="Q221" s="2"/>
      <c r="R221" s="6">
        <f t="shared" si="115"/>
        <v>0</v>
      </c>
      <c r="S221" s="2"/>
      <c r="T221" s="7">
        <v>75</v>
      </c>
      <c r="U221" s="2"/>
      <c r="V221" s="6">
        <f t="shared" si="116"/>
        <v>8.2979214923690101E-6</v>
      </c>
      <c r="W221" s="2"/>
      <c r="X221" s="7">
        <f t="shared" si="117"/>
        <v>-75</v>
      </c>
      <c r="Y221" s="2"/>
      <c r="Z221" s="6">
        <f t="shared" si="118"/>
        <v>-1</v>
      </c>
    </row>
    <row r="222" spans="1:26" s="24" customFormat="1" hidden="1" outlineLevel="2" x14ac:dyDescent="0.25">
      <c r="A222" s="27"/>
      <c r="B222" s="11" t="str">
        <f>CONCATENATE("          ", "6245", " - ", "PRINTING")</f>
        <v xml:space="preserve">          6245 - PRINTING</v>
      </c>
      <c r="C222" s="11"/>
      <c r="D222" s="7">
        <v>398.67</v>
      </c>
      <c r="E222" s="2"/>
      <c r="F222" s="6">
        <f t="shared" si="111"/>
        <v>1.0254516866850141E-3</v>
      </c>
      <c r="G222" s="2"/>
      <c r="H222" s="7">
        <v>350</v>
      </c>
      <c r="I222" s="2"/>
      <c r="J222" s="6">
        <f t="shared" si="112"/>
        <v>4.4993276718936E-4</v>
      </c>
      <c r="K222" s="2"/>
      <c r="L222" s="7">
        <f t="shared" si="113"/>
        <v>48.670000000000016</v>
      </c>
      <c r="M222" s="2"/>
      <c r="N222" s="6">
        <f t="shared" si="114"/>
        <v>0.13905714285714291</v>
      </c>
      <c r="O222" s="11"/>
      <c r="P222" s="7">
        <v>906.94</v>
      </c>
      <c r="Q222" s="2"/>
      <c r="R222" s="6">
        <f t="shared" si="115"/>
        <v>1.599329967962931E-4</v>
      </c>
      <c r="S222" s="2"/>
      <c r="T222" s="7">
        <v>3900</v>
      </c>
      <c r="U222" s="2"/>
      <c r="V222" s="6">
        <f t="shared" si="116"/>
        <v>4.3149191760318852E-4</v>
      </c>
      <c r="W222" s="2"/>
      <c r="X222" s="7">
        <f t="shared" si="117"/>
        <v>-2993.06</v>
      </c>
      <c r="Y222" s="2"/>
      <c r="Z222" s="6">
        <f t="shared" si="118"/>
        <v>-0.76745128205128199</v>
      </c>
    </row>
    <row r="223" spans="1:26" s="24" customFormat="1" hidden="1" outlineLevel="2" x14ac:dyDescent="0.25">
      <c r="A223" s="27"/>
      <c r="B223" s="11" t="str">
        <f>CONCATENATE("          ", "6247", " - ", "STORE SUPPLIES")</f>
        <v xml:space="preserve">          6247 - STORE SUPPLIES</v>
      </c>
      <c r="C223" s="11"/>
      <c r="D223" s="7">
        <v>3888.52</v>
      </c>
      <c r="E223" s="2"/>
      <c r="F223" s="6">
        <f t="shared" si="111"/>
        <v>1.0001980065488778E-2</v>
      </c>
      <c r="G223" s="2"/>
      <c r="H223" s="7">
        <v>3675</v>
      </c>
      <c r="I223" s="2"/>
      <c r="J223" s="6">
        <f t="shared" si="112"/>
        <v>4.7242940554882802E-3</v>
      </c>
      <c r="K223" s="2"/>
      <c r="L223" s="7">
        <f t="shared" si="113"/>
        <v>213.51999999999998</v>
      </c>
      <c r="M223" s="2"/>
      <c r="N223" s="6">
        <f t="shared" si="114"/>
        <v>5.8100680272108837E-2</v>
      </c>
      <c r="O223" s="11"/>
      <c r="P223" s="7">
        <v>42467.740000000005</v>
      </c>
      <c r="Q223" s="2"/>
      <c r="R223" s="6">
        <f t="shared" si="115"/>
        <v>7.4889109812841075E-3</v>
      </c>
      <c r="S223" s="2"/>
      <c r="T223" s="7">
        <v>24450</v>
      </c>
      <c r="U223" s="2"/>
      <c r="V223" s="6">
        <f t="shared" si="116"/>
        <v>2.7051224065122973E-3</v>
      </c>
      <c r="W223" s="2"/>
      <c r="X223" s="7">
        <f t="shared" si="117"/>
        <v>18017.740000000005</v>
      </c>
      <c r="Y223" s="2"/>
      <c r="Z223" s="6">
        <f t="shared" si="118"/>
        <v>0.73692188139059323</v>
      </c>
    </row>
    <row r="224" spans="1:26" s="24" customFormat="1" hidden="1" outlineLevel="2" x14ac:dyDescent="0.25">
      <c r="A224" s="27"/>
      <c r="B224" s="11" t="str">
        <f>CONCATENATE("          ", "6248", " - ", "UNIFORMS")</f>
        <v xml:space="preserve">          6248 - UNIFORMS</v>
      </c>
      <c r="C224" s="11"/>
      <c r="D224" s="7"/>
      <c r="E224" s="2"/>
      <c r="F224" s="6">
        <f t="shared" si="111"/>
        <v>0</v>
      </c>
      <c r="G224" s="2"/>
      <c r="H224" s="7">
        <v>1500</v>
      </c>
      <c r="I224" s="2"/>
      <c r="J224" s="6">
        <f t="shared" si="112"/>
        <v>1.9282832879543999E-3</v>
      </c>
      <c r="K224" s="2"/>
      <c r="L224" s="7">
        <f t="shared" si="113"/>
        <v>-1500</v>
      </c>
      <c r="M224" s="2"/>
      <c r="N224" s="6">
        <f t="shared" si="114"/>
        <v>-1</v>
      </c>
      <c r="O224" s="11"/>
      <c r="P224" s="7"/>
      <c r="Q224" s="2"/>
      <c r="R224" s="6">
        <f t="shared" si="115"/>
        <v>0</v>
      </c>
      <c r="S224" s="2"/>
      <c r="T224" s="7">
        <v>12200</v>
      </c>
      <c r="U224" s="2"/>
      <c r="V224" s="6">
        <f t="shared" si="116"/>
        <v>1.3497952294253589E-3</v>
      </c>
      <c r="W224" s="2"/>
      <c r="X224" s="7">
        <f t="shared" si="117"/>
        <v>-12200</v>
      </c>
      <c r="Y224" s="2"/>
      <c r="Z224" s="6">
        <f t="shared" si="118"/>
        <v>-1</v>
      </c>
    </row>
    <row r="225" spans="1:26" s="28" customFormat="1" outlineLevel="1" collapsed="1" x14ac:dyDescent="0.25">
      <c r="A225" s="29"/>
      <c r="B225" s="14" t="str">
        <f>CONCATENATE("     ","Telephone/Data Lines                              ")</f>
        <v xml:space="preserve">     Telephone/Data Lines                              </v>
      </c>
      <c r="C225" s="14"/>
      <c r="D225" s="1">
        <f>SUM(OSRRefD22_21x_0)</f>
        <v>1489.25</v>
      </c>
      <c r="E225" s="1"/>
      <c r="F225" s="5">
        <f t="shared" ref="F225:F227" si="119">IF(D$12=0,0,D225/D$12)</f>
        <v>3.8306216279019173E-3</v>
      </c>
      <c r="G225" s="1"/>
      <c r="H225" s="1">
        <f>SUM(OSRRefH22_21x_0)</f>
        <v>2545</v>
      </c>
      <c r="I225" s="1"/>
      <c r="J225" s="5">
        <f t="shared" ref="J225:J227" si="120">IF(H$12=0,0,H225/H$12)</f>
        <v>3.2716539785626318E-3</v>
      </c>
      <c r="K225" s="1"/>
      <c r="L225" s="1">
        <f t="shared" ref="L225:L227" si="121">+D225-H225</f>
        <v>-1055.75</v>
      </c>
      <c r="M225" s="1"/>
      <c r="N225" s="5">
        <f t="shared" ref="N225:N227" si="122">IF(H225=0,0,L225/H225)</f>
        <v>-0.41483300589390965</v>
      </c>
      <c r="O225" s="14"/>
      <c r="P225" s="1">
        <f>SUM(OSRRefP22_21x_0)</f>
        <v>20760</v>
      </c>
      <c r="Q225" s="1"/>
      <c r="R225" s="5">
        <f t="shared" ref="R225:R227" si="123">IF(P$12=0,0,P225/P$12)</f>
        <v>3.6608915843286704E-3</v>
      </c>
      <c r="S225" s="1"/>
      <c r="T225" s="1">
        <f>SUM(OSRRefT22_21x_0)</f>
        <v>22670</v>
      </c>
      <c r="U225" s="1"/>
      <c r="V225" s="5">
        <f t="shared" ref="V225:V227" si="124">IF(T$12=0,0,T225/T$12)</f>
        <v>2.5081850697600727E-3</v>
      </c>
      <c r="W225" s="1"/>
      <c r="X225" s="1">
        <f t="shared" ref="X225:X227" si="125">+P225-T225</f>
        <v>-1910</v>
      </c>
      <c r="Y225" s="1"/>
      <c r="Z225" s="5">
        <f t="shared" ref="Z225:Z227" si="126">IF(T225=0,0,X225/T225)</f>
        <v>-8.4252315835906491E-2</v>
      </c>
    </row>
    <row r="226" spans="1:26" s="24" customFormat="1" hidden="1" outlineLevel="2" x14ac:dyDescent="0.25">
      <c r="A226" s="27"/>
      <c r="B226" s="11" t="str">
        <f>CONCATENATE("          ", "6303", " - ", "DATA PHONE LINES")</f>
        <v xml:space="preserve">          6303 - DATA PHONE LINES</v>
      </c>
      <c r="C226" s="11"/>
      <c r="D226" s="7">
        <v>590</v>
      </c>
      <c r="E226" s="2"/>
      <c r="F226" s="6">
        <f t="shared" si="119"/>
        <v>1.5175872153514393E-3</v>
      </c>
      <c r="G226" s="2"/>
      <c r="H226" s="7">
        <v>630</v>
      </c>
      <c r="I226" s="2"/>
      <c r="J226" s="6">
        <f t="shared" si="120"/>
        <v>8.0987898094084796E-4</v>
      </c>
      <c r="K226" s="2"/>
      <c r="L226" s="7">
        <f t="shared" si="121"/>
        <v>-40</v>
      </c>
      <c r="M226" s="2"/>
      <c r="N226" s="6">
        <f t="shared" si="122"/>
        <v>-6.3492063492063489E-2</v>
      </c>
      <c r="O226" s="11"/>
      <c r="P226" s="7">
        <v>2950</v>
      </c>
      <c r="Q226" s="2"/>
      <c r="R226" s="6">
        <f t="shared" si="123"/>
        <v>5.2021339950720504E-4</v>
      </c>
      <c r="S226" s="2"/>
      <c r="T226" s="7">
        <v>5040</v>
      </c>
      <c r="U226" s="2"/>
      <c r="V226" s="6">
        <f t="shared" si="124"/>
        <v>5.5762032428719745E-4</v>
      </c>
      <c r="W226" s="2"/>
      <c r="X226" s="7">
        <f t="shared" si="125"/>
        <v>-2090</v>
      </c>
      <c r="Y226" s="2"/>
      <c r="Z226" s="6">
        <f t="shared" si="126"/>
        <v>-0.41468253968253971</v>
      </c>
    </row>
    <row r="227" spans="1:26" s="24" customFormat="1" hidden="1" outlineLevel="2" x14ac:dyDescent="0.25">
      <c r="A227" s="27"/>
      <c r="B227" s="11" t="str">
        <f>CONCATENATE("          ", "6309", " - ", "TELEPHONE")</f>
        <v xml:space="preserve">          6309 - TELEPHONE</v>
      </c>
      <c r="C227" s="11"/>
      <c r="D227" s="7">
        <v>899.25</v>
      </c>
      <c r="E227" s="2"/>
      <c r="F227" s="6">
        <f t="shared" si="119"/>
        <v>2.3130344125504776E-3</v>
      </c>
      <c r="G227" s="2"/>
      <c r="H227" s="7">
        <v>1915</v>
      </c>
      <c r="I227" s="2"/>
      <c r="J227" s="6">
        <f t="shared" si="120"/>
        <v>2.4617749976217841E-3</v>
      </c>
      <c r="K227" s="2"/>
      <c r="L227" s="7">
        <f t="shared" si="121"/>
        <v>-1015.75</v>
      </c>
      <c r="M227" s="2"/>
      <c r="N227" s="6">
        <f t="shared" si="122"/>
        <v>-0.5304177545691906</v>
      </c>
      <c r="O227" s="11"/>
      <c r="P227" s="7">
        <v>17810</v>
      </c>
      <c r="Q227" s="2"/>
      <c r="R227" s="6">
        <f t="shared" si="123"/>
        <v>3.1406781848214655E-3</v>
      </c>
      <c r="S227" s="2"/>
      <c r="T227" s="7">
        <v>17630</v>
      </c>
      <c r="U227" s="2"/>
      <c r="V227" s="6">
        <f t="shared" si="124"/>
        <v>1.9505647454728754E-3</v>
      </c>
      <c r="W227" s="2"/>
      <c r="X227" s="7">
        <f t="shared" si="125"/>
        <v>180</v>
      </c>
      <c r="Y227" s="2"/>
      <c r="Z227" s="6">
        <f t="shared" si="126"/>
        <v>1.0209869540555871E-2</v>
      </c>
    </row>
    <row r="228" spans="1:26" s="28" customFormat="1" outlineLevel="1" collapsed="1" x14ac:dyDescent="0.25">
      <c r="A228" s="29"/>
      <c r="B228" s="14" t="str">
        <f>CONCATENATE("     ","Training                                          ")</f>
        <v xml:space="preserve">     Training                                          </v>
      </c>
      <c r="C228" s="14"/>
      <c r="D228" s="1">
        <f>SUM(OSRRefD22_22x_0)</f>
        <v>750</v>
      </c>
      <c r="E228" s="1"/>
      <c r="F228" s="5">
        <f t="shared" ref="F228:F233" si="127">IF(D$12=0,0,D228/D$12)</f>
        <v>1.9291362907009823E-3</v>
      </c>
      <c r="G228" s="1"/>
      <c r="H228" s="1">
        <f>SUM(OSRRefH22_22x_0)</f>
        <v>6000</v>
      </c>
      <c r="I228" s="1"/>
      <c r="J228" s="5">
        <f t="shared" ref="J228:J233" si="128">IF(H$12=0,0,H228/H$12)</f>
        <v>7.7131331518175998E-3</v>
      </c>
      <c r="K228" s="1"/>
      <c r="L228" s="1">
        <f t="shared" ref="L228:L233" si="129">+D228-H228</f>
        <v>-5250</v>
      </c>
      <c r="M228" s="1"/>
      <c r="N228" s="5">
        <f t="shared" ref="N228:N233" si="130">IF(H228=0,0,L228/H228)</f>
        <v>-0.875</v>
      </c>
      <c r="O228" s="14"/>
      <c r="P228" s="1">
        <f>SUM(OSRRefP22_22x_0)</f>
        <v>995.63</v>
      </c>
      <c r="Q228" s="1"/>
      <c r="R228" s="5">
        <f t="shared" ref="R228:R233" si="131">IF(P$12=0,0,P228/P$12)</f>
        <v>1.75572904051308E-4</v>
      </c>
      <c r="S228" s="1"/>
      <c r="T228" s="1">
        <f>SUM(OSRRefT22_22x_0)</f>
        <v>14470</v>
      </c>
      <c r="U228" s="1"/>
      <c r="V228" s="5">
        <f t="shared" ref="V228:V233" si="132">IF(T$12=0,0,T228/T$12)</f>
        <v>1.600945653261061E-3</v>
      </c>
      <c r="W228" s="1"/>
      <c r="X228" s="1">
        <f t="shared" ref="X228:X233" si="133">+P228-T228</f>
        <v>-13474.37</v>
      </c>
      <c r="Y228" s="1"/>
      <c r="Z228" s="5">
        <f t="shared" ref="Z228:Z233" si="134">IF(T228=0,0,X228/T228)</f>
        <v>-0.93119350380096755</v>
      </c>
    </row>
    <row r="229" spans="1:26" s="24" customFormat="1" hidden="1" outlineLevel="2" x14ac:dyDescent="0.25">
      <c r="A229" s="27"/>
      <c r="B229" s="11" t="str">
        <f>CONCATENATE("          ", "6376", " - ", "TRAINING")</f>
        <v xml:space="preserve">          6376 - TRAINING</v>
      </c>
      <c r="C229" s="11"/>
      <c r="D229" s="7">
        <v>750</v>
      </c>
      <c r="E229" s="2"/>
      <c r="F229" s="6">
        <f t="shared" si="127"/>
        <v>1.9291362907009823E-3</v>
      </c>
      <c r="G229" s="2"/>
      <c r="H229" s="7">
        <v>6000</v>
      </c>
      <c r="I229" s="2"/>
      <c r="J229" s="6">
        <f t="shared" si="128"/>
        <v>7.7131331518175998E-3</v>
      </c>
      <c r="K229" s="2"/>
      <c r="L229" s="7">
        <f t="shared" si="129"/>
        <v>-5250</v>
      </c>
      <c r="M229" s="2"/>
      <c r="N229" s="6">
        <f t="shared" si="130"/>
        <v>-0.875</v>
      </c>
      <c r="O229" s="11"/>
      <c r="P229" s="7">
        <v>995.63</v>
      </c>
      <c r="Q229" s="2"/>
      <c r="R229" s="6">
        <f t="shared" si="131"/>
        <v>1.75572904051308E-4</v>
      </c>
      <c r="S229" s="2"/>
      <c r="T229" s="7">
        <v>14470</v>
      </c>
      <c r="U229" s="2"/>
      <c r="V229" s="6">
        <f t="shared" si="132"/>
        <v>1.600945653261061E-3</v>
      </c>
      <c r="W229" s="2"/>
      <c r="X229" s="7">
        <f t="shared" si="133"/>
        <v>-13474.37</v>
      </c>
      <c r="Y229" s="2"/>
      <c r="Z229" s="6">
        <f t="shared" si="134"/>
        <v>-0.93119350380096755</v>
      </c>
    </row>
    <row r="230" spans="1:26" s="28" customFormat="1" outlineLevel="1" collapsed="1" x14ac:dyDescent="0.25">
      <c r="A230" s="29"/>
      <c r="B230" s="14" t="str">
        <f>CONCATENATE("     ","Travel                                            ")</f>
        <v xml:space="preserve">     Travel                                            </v>
      </c>
      <c r="C230" s="14"/>
      <c r="D230" s="1">
        <f>SUM(OSRRefD22_23x_0)</f>
        <v>0</v>
      </c>
      <c r="E230" s="1"/>
      <c r="F230" s="5">
        <f t="shared" si="127"/>
        <v>0</v>
      </c>
      <c r="G230" s="1"/>
      <c r="H230" s="1">
        <f>SUM(OSRRefH22_23x_0)</f>
        <v>50</v>
      </c>
      <c r="I230" s="1"/>
      <c r="J230" s="5">
        <f t="shared" si="128"/>
        <v>6.4276109598479996E-5</v>
      </c>
      <c r="K230" s="1"/>
      <c r="L230" s="1">
        <f t="shared" si="129"/>
        <v>-50</v>
      </c>
      <c r="M230" s="1"/>
      <c r="N230" s="5">
        <f t="shared" si="130"/>
        <v>-1</v>
      </c>
      <c r="O230" s="14"/>
      <c r="P230" s="1">
        <f>SUM(OSRRefP22_23x_0)</f>
        <v>810.31000000000006</v>
      </c>
      <c r="Q230" s="1"/>
      <c r="R230" s="5">
        <f t="shared" si="131"/>
        <v>1.4289292195074013E-4</v>
      </c>
      <c r="S230" s="1"/>
      <c r="T230" s="1">
        <f>SUM(OSRRefT22_23x_0)</f>
        <v>600</v>
      </c>
      <c r="U230" s="1"/>
      <c r="V230" s="5">
        <f t="shared" si="132"/>
        <v>6.6383371938952081E-5</v>
      </c>
      <c r="W230" s="1"/>
      <c r="X230" s="1">
        <f t="shared" si="133"/>
        <v>210.31000000000006</v>
      </c>
      <c r="Y230" s="1"/>
      <c r="Z230" s="5">
        <f t="shared" si="134"/>
        <v>0.35051666666666675</v>
      </c>
    </row>
    <row r="231" spans="1:26" s="24" customFormat="1" hidden="1" outlineLevel="2" x14ac:dyDescent="0.25">
      <c r="A231" s="27"/>
      <c r="B231" s="11" t="str">
        <f>CONCATENATE("          ", "6292", " - ", "TRAVEL/CONFERENCE")</f>
        <v xml:space="preserve">          6292 - TRAVEL/CONFERENCE</v>
      </c>
      <c r="C231" s="11"/>
      <c r="D231" s="7"/>
      <c r="E231" s="2"/>
      <c r="F231" s="6">
        <f t="shared" si="127"/>
        <v>0</v>
      </c>
      <c r="G231" s="2"/>
      <c r="H231" s="7"/>
      <c r="I231" s="2"/>
      <c r="J231" s="6">
        <f t="shared" si="128"/>
        <v>0</v>
      </c>
      <c r="K231" s="2"/>
      <c r="L231" s="7">
        <f t="shared" si="129"/>
        <v>0</v>
      </c>
      <c r="M231" s="2"/>
      <c r="N231" s="6">
        <f t="shared" si="130"/>
        <v>0</v>
      </c>
      <c r="O231" s="11"/>
      <c r="P231" s="7">
        <v>299.16000000000003</v>
      </c>
      <c r="Q231" s="2"/>
      <c r="R231" s="6">
        <f t="shared" si="131"/>
        <v>5.2754929015788299E-5</v>
      </c>
      <c r="S231" s="2"/>
      <c r="T231" s="7">
        <v>0</v>
      </c>
      <c r="U231" s="2"/>
      <c r="V231" s="6">
        <f t="shared" si="132"/>
        <v>0</v>
      </c>
      <c r="W231" s="2"/>
      <c r="X231" s="7">
        <f t="shared" si="133"/>
        <v>299.16000000000003</v>
      </c>
      <c r="Y231" s="2"/>
      <c r="Z231" s="6">
        <f t="shared" si="134"/>
        <v>0</v>
      </c>
    </row>
    <row r="232" spans="1:26" s="24" customFormat="1" hidden="1" outlineLevel="2" x14ac:dyDescent="0.25">
      <c r="A232" s="27"/>
      <c r="B232" s="11" t="str">
        <f>CONCATENATE("          ", "6294", " - ", "TRAVEL OPERATIONAL")</f>
        <v xml:space="preserve">          6294 - TRAVEL OPERATIONAL</v>
      </c>
      <c r="C232" s="11"/>
      <c r="D232" s="7"/>
      <c r="E232" s="2"/>
      <c r="F232" s="6">
        <f t="shared" si="127"/>
        <v>0</v>
      </c>
      <c r="G232" s="2"/>
      <c r="H232" s="7">
        <v>25</v>
      </c>
      <c r="I232" s="2"/>
      <c r="J232" s="6">
        <f t="shared" si="128"/>
        <v>3.2138054799239998E-5</v>
      </c>
      <c r="K232" s="2"/>
      <c r="L232" s="7">
        <f t="shared" si="129"/>
        <v>-25</v>
      </c>
      <c r="M232" s="2"/>
      <c r="N232" s="6">
        <f t="shared" si="130"/>
        <v>-1</v>
      </c>
      <c r="O232" s="11"/>
      <c r="P232" s="7">
        <v>451.26</v>
      </c>
      <c r="Q232" s="2"/>
      <c r="R232" s="6">
        <f t="shared" si="131"/>
        <v>7.9576779207329274E-5</v>
      </c>
      <c r="S232" s="2"/>
      <c r="T232" s="7">
        <v>200</v>
      </c>
      <c r="U232" s="2"/>
      <c r="V232" s="6">
        <f t="shared" si="132"/>
        <v>2.2127790646317362E-5</v>
      </c>
      <c r="W232" s="2"/>
      <c r="X232" s="7">
        <f t="shared" si="133"/>
        <v>251.26</v>
      </c>
      <c r="Y232" s="2"/>
      <c r="Z232" s="6">
        <f t="shared" si="134"/>
        <v>1.2563</v>
      </c>
    </row>
    <row r="233" spans="1:26" s="24" customFormat="1" hidden="1" outlineLevel="2" x14ac:dyDescent="0.25">
      <c r="A233" s="27"/>
      <c r="B233" s="11" t="str">
        <f>CONCATENATE("          ", "6298", " - ", "VEHICLE MILEAGE")</f>
        <v xml:space="preserve">          6298 - VEHICLE MILEAGE</v>
      </c>
      <c r="C233" s="11"/>
      <c r="D233" s="7"/>
      <c r="E233" s="2"/>
      <c r="F233" s="6">
        <f t="shared" si="127"/>
        <v>0</v>
      </c>
      <c r="G233" s="2"/>
      <c r="H233" s="7">
        <v>25</v>
      </c>
      <c r="I233" s="2"/>
      <c r="J233" s="6">
        <f t="shared" si="128"/>
        <v>3.2138054799239998E-5</v>
      </c>
      <c r="K233" s="2"/>
      <c r="L233" s="7">
        <f t="shared" si="129"/>
        <v>-25</v>
      </c>
      <c r="M233" s="2"/>
      <c r="N233" s="6">
        <f t="shared" si="130"/>
        <v>-1</v>
      </c>
      <c r="O233" s="11"/>
      <c r="P233" s="7">
        <v>59.89</v>
      </c>
      <c r="Q233" s="2"/>
      <c r="R233" s="6">
        <f t="shared" si="131"/>
        <v>1.0561213727622547E-5</v>
      </c>
      <c r="S233" s="2"/>
      <c r="T233" s="7">
        <v>400</v>
      </c>
      <c r="U233" s="2"/>
      <c r="V233" s="6">
        <f t="shared" si="132"/>
        <v>4.4255581292634723E-5</v>
      </c>
      <c r="W233" s="2"/>
      <c r="X233" s="7">
        <f t="shared" si="133"/>
        <v>-340.11</v>
      </c>
      <c r="Y233" s="2"/>
      <c r="Z233" s="6">
        <f t="shared" si="134"/>
        <v>-0.850275</v>
      </c>
    </row>
    <row r="234" spans="1:26" s="28" customFormat="1" outlineLevel="1" collapsed="1" x14ac:dyDescent="0.25">
      <c r="A234" s="29"/>
      <c r="B234" s="14" t="str">
        <f>CONCATENATE("     ","Utilities                                         ")</f>
        <v xml:space="preserve">     Utilities                                         </v>
      </c>
      <c r="C234" s="14"/>
      <c r="D234" s="1">
        <f>SUM(OSRRefD22_24x_0)</f>
        <v>6161.14</v>
      </c>
      <c r="E234" s="1"/>
      <c r="F234" s="5">
        <f t="shared" ref="F234:F235" si="135">IF(D$12=0,0,D234/D$12)</f>
        <v>1.5847571688119268E-2</v>
      </c>
      <c r="G234" s="1"/>
      <c r="H234" s="1">
        <f>SUM(OSRRefH22_24x_0)</f>
        <v>8800</v>
      </c>
      <c r="I234" s="1"/>
      <c r="J234" s="5">
        <f t="shared" ref="J234:J235" si="136">IF(H$12=0,0,H234/H$12)</f>
        <v>1.131259528933248E-2</v>
      </c>
      <c r="K234" s="1"/>
      <c r="L234" s="1">
        <f t="shared" ref="L234:L235" si="137">+D234-H234</f>
        <v>-2638.8599999999997</v>
      </c>
      <c r="M234" s="1"/>
      <c r="N234" s="5">
        <f t="shared" ref="N234:N235" si="138">IF(H234=0,0,L234/H234)</f>
        <v>-0.29987045454545452</v>
      </c>
      <c r="O234" s="14"/>
      <c r="P234" s="1">
        <f>SUM(OSRRefP22_24x_0)</f>
        <v>49088.17</v>
      </c>
      <c r="Q234" s="1"/>
      <c r="R234" s="5">
        <f t="shared" ref="R234:R235" si="139">IF(P$12=0,0,P234/P$12)</f>
        <v>8.6563809461991867E-3</v>
      </c>
      <c r="S234" s="1"/>
      <c r="T234" s="1">
        <f>SUM(OSRRefT22_24x_0)</f>
        <v>51775</v>
      </c>
      <c r="U234" s="1"/>
      <c r="V234" s="5">
        <f t="shared" ref="V234:V235" si="140">IF(T$12=0,0,T234/T$12)</f>
        <v>5.7283318035654066E-3</v>
      </c>
      <c r="W234" s="1"/>
      <c r="X234" s="1">
        <f t="shared" ref="X234:X235" si="141">+P234-T234</f>
        <v>-2686.8300000000017</v>
      </c>
      <c r="Y234" s="1"/>
      <c r="Z234" s="5">
        <f t="shared" ref="Z234:Z235" si="142">IF(T234=0,0,X234/T234)</f>
        <v>-5.1894350555287336E-2</v>
      </c>
    </row>
    <row r="235" spans="1:26" s="24" customFormat="1" hidden="1" outlineLevel="2" x14ac:dyDescent="0.25">
      <c r="A235" s="27"/>
      <c r="B235" s="11" t="str">
        <f>CONCATENATE("          ", "6274", " - ", "UTILITIES")</f>
        <v xml:space="preserve">          6274 - UTILITIES</v>
      </c>
      <c r="C235" s="11"/>
      <c r="D235" s="7">
        <v>6161.14</v>
      </c>
      <c r="E235" s="2"/>
      <c r="F235" s="6">
        <f t="shared" si="135"/>
        <v>1.5847571688119268E-2</v>
      </c>
      <c r="G235" s="2"/>
      <c r="H235" s="7">
        <v>8800</v>
      </c>
      <c r="I235" s="2"/>
      <c r="J235" s="6">
        <f t="shared" si="136"/>
        <v>1.131259528933248E-2</v>
      </c>
      <c r="K235" s="2"/>
      <c r="L235" s="7">
        <f t="shared" si="137"/>
        <v>-2638.8599999999997</v>
      </c>
      <c r="M235" s="2"/>
      <c r="N235" s="6">
        <f t="shared" si="138"/>
        <v>-0.29987045454545452</v>
      </c>
      <c r="O235" s="11"/>
      <c r="P235" s="7">
        <v>49088.17</v>
      </c>
      <c r="Q235" s="2"/>
      <c r="R235" s="6">
        <f t="shared" si="139"/>
        <v>8.6563809461991867E-3</v>
      </c>
      <c r="S235" s="2"/>
      <c r="T235" s="7">
        <v>51775</v>
      </c>
      <c r="U235" s="2"/>
      <c r="V235" s="6">
        <f t="shared" si="140"/>
        <v>5.7283318035654066E-3</v>
      </c>
      <c r="W235" s="2"/>
      <c r="X235" s="7">
        <f t="shared" si="141"/>
        <v>-2686.8300000000017</v>
      </c>
      <c r="Y235" s="2"/>
      <c r="Z235" s="6">
        <f t="shared" si="142"/>
        <v>-5.1894350555287336E-2</v>
      </c>
    </row>
    <row r="236" spans="1:26" s="58" customFormat="1" x14ac:dyDescent="0.25">
      <c r="A236" s="36"/>
      <c r="B236" s="36"/>
      <c r="C236" s="36"/>
      <c r="D236" s="1"/>
      <c r="E236" s="1"/>
      <c r="F236" s="5"/>
      <c r="G236" s="1"/>
      <c r="H236" s="1"/>
      <c r="I236" s="1"/>
      <c r="J236" s="5"/>
      <c r="K236" s="1"/>
      <c r="L236" s="1"/>
      <c r="M236" s="1"/>
      <c r="N236" s="5"/>
      <c r="O236" s="36"/>
      <c r="P236" s="1"/>
      <c r="Q236" s="1"/>
      <c r="R236" s="5"/>
      <c r="S236" s="1"/>
      <c r="T236" s="1"/>
      <c r="U236" s="1"/>
      <c r="V236" s="5"/>
      <c r="W236" s="1"/>
      <c r="X236" s="1"/>
      <c r="Y236" s="1"/>
      <c r="Z236" s="5"/>
    </row>
    <row r="237" spans="1:26" s="23" customFormat="1" collapsed="1" x14ac:dyDescent="0.25">
      <c r="A237" s="10"/>
      <c r="B237" s="26" t="s">
        <v>0</v>
      </c>
      <c r="C237" s="10"/>
      <c r="D237" s="4">
        <f>SUM(OSRRefD25x_0)</f>
        <v>197526.39999999999</v>
      </c>
      <c r="E237" s="4"/>
      <c r="F237" s="12">
        <f t="shared" ref="F237:F242" si="143">IF(D$12=0,0,D237/D$12)</f>
        <v>0.50807379548202469</v>
      </c>
      <c r="G237" s="4"/>
      <c r="H237" s="4">
        <f>SUM(OSRRefH25x_0)</f>
        <v>115844</v>
      </c>
      <c r="I237" s="4"/>
      <c r="J237" s="12">
        <f t="shared" ref="J237:J242" si="144">IF(H$12=0,0,H237/H$12)</f>
        <v>0.14892003280652633</v>
      </c>
      <c r="K237" s="4"/>
      <c r="L237" s="4">
        <f t="shared" ref="L237:L242" si="145">+D237-H237</f>
        <v>81682.399999999994</v>
      </c>
      <c r="M237" s="4"/>
      <c r="N237" s="12">
        <f t="shared" ref="N237:N242" si="146">IF(H237=0,0,L237/H237)</f>
        <v>0.7051068678567729</v>
      </c>
      <c r="O237" s="10"/>
      <c r="P237" s="4">
        <f>SUM(OSRRefP25x_0)</f>
        <v>774534.05</v>
      </c>
      <c r="Q237" s="4"/>
      <c r="R237" s="12">
        <f t="shared" ref="R237:R242" si="147">IF(P$12=0,0,P237/P$12)</f>
        <v>0.13658406480833343</v>
      </c>
      <c r="S237" s="4"/>
      <c r="T237" s="4">
        <f>SUM(OSRRefT25x_0)</f>
        <v>642672</v>
      </c>
      <c r="U237" s="4"/>
      <c r="V237" s="12">
        <f t="shared" ref="V237:V242" si="148">IF(T$12=0,0,T237/T$12)</f>
        <v>7.1104557351250347E-2</v>
      </c>
      <c r="W237" s="4"/>
      <c r="X237" s="4">
        <f t="shared" ref="X237:X242" si="149">+P237-T237</f>
        <v>131862.05000000005</v>
      </c>
      <c r="Y237" s="4"/>
      <c r="Z237" s="12">
        <f t="shared" ref="Z237:Z242" si="150">IF(T237=0,0,X237/T237)</f>
        <v>0.20517783566111492</v>
      </c>
    </row>
    <row r="238" spans="1:26" s="24" customFormat="1" hidden="1" outlineLevel="1" x14ac:dyDescent="0.25">
      <c r="A238" s="51"/>
      <c r="B238" s="11" t="str">
        <f>CONCATENATE("          ", "4187", " - ", "NON-TAXABLE SALES-COMPUTER REP")</f>
        <v xml:space="preserve">          4187 - NON-TAXABLE SALES-COMPUTER REP</v>
      </c>
      <c r="C238" s="11"/>
      <c r="D238" s="2">
        <f>-231.36</f>
        <v>-231.36</v>
      </c>
      <c r="E238" s="2"/>
      <c r="F238" s="22">
        <f t="shared" si="143"/>
        <v>-5.95099962955439E-4</v>
      </c>
      <c r="G238" s="2"/>
      <c r="H238" s="2"/>
      <c r="I238" s="2"/>
      <c r="J238" s="22">
        <f t="shared" si="144"/>
        <v>0</v>
      </c>
      <c r="K238" s="2"/>
      <c r="L238" s="2">
        <f t="shared" si="145"/>
        <v>-231.36</v>
      </c>
      <c r="M238" s="2"/>
      <c r="N238" s="22">
        <f t="shared" si="146"/>
        <v>0</v>
      </c>
      <c r="O238" s="11"/>
      <c r="P238" s="2">
        <f>--1454.51</f>
        <v>1454.51</v>
      </c>
      <c r="Q238" s="2"/>
      <c r="R238" s="22">
        <f t="shared" si="147"/>
        <v>2.5649342092109317E-4</v>
      </c>
      <c r="S238" s="2"/>
      <c r="T238" s="2"/>
      <c r="U238" s="2"/>
      <c r="V238" s="22">
        <f t="shared" si="148"/>
        <v>0</v>
      </c>
      <c r="W238" s="2"/>
      <c r="X238" s="2">
        <f t="shared" si="149"/>
        <v>1454.51</v>
      </c>
      <c r="Y238" s="2"/>
      <c r="Z238" s="22">
        <f t="shared" si="150"/>
        <v>0</v>
      </c>
    </row>
    <row r="239" spans="1:26" s="24" customFormat="1" hidden="1" outlineLevel="1" x14ac:dyDescent="0.25">
      <c r="A239" s="51"/>
      <c r="B239" s="11" t="str">
        <f>CONCATENATE("          ", "9150", " - ", "MISC. INCOME")</f>
        <v xml:space="preserve">          9150 - MISC. INCOME</v>
      </c>
      <c r="C239" s="11"/>
      <c r="D239" s="2">
        <f>--53009.34</f>
        <v>53009.34</v>
      </c>
      <c r="E239" s="2"/>
      <c r="F239" s="22">
        <f t="shared" si="143"/>
        <v>0.1363496553868096</v>
      </c>
      <c r="G239" s="2"/>
      <c r="H239" s="2">
        <v>21548</v>
      </c>
      <c r="I239" s="2"/>
      <c r="J239" s="22">
        <f t="shared" si="144"/>
        <v>2.770043219256094E-2</v>
      </c>
      <c r="K239" s="2"/>
      <c r="L239" s="2">
        <f t="shared" si="145"/>
        <v>31461.339999999997</v>
      </c>
      <c r="M239" s="2"/>
      <c r="N239" s="22">
        <f t="shared" si="146"/>
        <v>1.460058474104325</v>
      </c>
      <c r="O239" s="11"/>
      <c r="P239" s="2">
        <f>--300435.63</f>
        <v>300435.63</v>
      </c>
      <c r="Q239" s="2"/>
      <c r="R239" s="22">
        <f t="shared" si="147"/>
        <v>5.2979878106911474E-2</v>
      </c>
      <c r="S239" s="2"/>
      <c r="T239" s="2">
        <v>176272</v>
      </c>
      <c r="U239" s="2"/>
      <c r="V239" s="22">
        <f t="shared" si="148"/>
        <v>1.9502549564038268E-2</v>
      </c>
      <c r="W239" s="2"/>
      <c r="X239" s="2">
        <f t="shared" si="149"/>
        <v>124163.63</v>
      </c>
      <c r="Y239" s="2"/>
      <c r="Z239" s="22">
        <f t="shared" si="150"/>
        <v>0.70438657302350915</v>
      </c>
    </row>
    <row r="240" spans="1:26" s="24" customFormat="1" hidden="1" outlineLevel="1" x14ac:dyDescent="0.25">
      <c r="A240" s="51"/>
      <c r="B240" s="11" t="str">
        <f>CONCATENATE("          ", "9151", " - ", "MISC. INCOME")</f>
        <v xml:space="preserve">          9151 - MISC. INCOME</v>
      </c>
      <c r="C240" s="11"/>
      <c r="D240" s="2">
        <f>--148653.31</f>
        <v>148653.31</v>
      </c>
      <c r="E240" s="2"/>
      <c r="F240" s="22">
        <f t="shared" si="143"/>
        <v>0.38236332673843099</v>
      </c>
      <c r="G240" s="2"/>
      <c r="H240" s="2">
        <v>94296</v>
      </c>
      <c r="I240" s="2"/>
      <c r="J240" s="22">
        <f t="shared" si="144"/>
        <v>0.1212196006139654</v>
      </c>
      <c r="K240" s="2"/>
      <c r="L240" s="2">
        <f t="shared" si="145"/>
        <v>54357.31</v>
      </c>
      <c r="M240" s="2"/>
      <c r="N240" s="22">
        <f t="shared" si="146"/>
        <v>0.57645403834733178</v>
      </c>
      <c r="O240" s="11"/>
      <c r="P240" s="2">
        <f>--297910.7</f>
        <v>297910.7</v>
      </c>
      <c r="Q240" s="2"/>
      <c r="R240" s="22">
        <f t="shared" si="147"/>
        <v>5.2534623049685127E-2</v>
      </c>
      <c r="S240" s="2"/>
      <c r="T240" s="2">
        <v>466400</v>
      </c>
      <c r="U240" s="2"/>
      <c r="V240" s="22">
        <f t="shared" si="148"/>
        <v>5.1602007787212086E-2</v>
      </c>
      <c r="W240" s="2"/>
      <c r="X240" s="2">
        <f t="shared" si="149"/>
        <v>-168489.3</v>
      </c>
      <c r="Y240" s="2"/>
      <c r="Z240" s="22">
        <f t="shared" si="150"/>
        <v>-0.36125493138936532</v>
      </c>
    </row>
    <row r="241" spans="1:26" s="24" customFormat="1" hidden="1" outlineLevel="1" x14ac:dyDescent="0.25">
      <c r="A241" s="51"/>
      <c r="B241" s="11" t="str">
        <f>CONCATENATE("          ", "9152", " - ", "MISC. INCOME")</f>
        <v xml:space="preserve">          9152 - MISC. INCOME</v>
      </c>
      <c r="C241" s="11"/>
      <c r="D241" s="2">
        <f>--81.19</f>
        <v>81.19</v>
      </c>
      <c r="E241" s="2"/>
      <c r="F241" s="22">
        <f t="shared" si="143"/>
        <v>2.0883543392268366E-4</v>
      </c>
      <c r="G241" s="2"/>
      <c r="H241" s="2"/>
      <c r="I241" s="2"/>
      <c r="J241" s="22">
        <f t="shared" si="144"/>
        <v>0</v>
      </c>
      <c r="K241" s="2"/>
      <c r="L241" s="2">
        <f t="shared" si="145"/>
        <v>81.19</v>
      </c>
      <c r="M241" s="2"/>
      <c r="N241" s="22">
        <f t="shared" si="146"/>
        <v>0</v>
      </c>
      <c r="O241" s="11"/>
      <c r="P241" s="2">
        <f>--3313.45</f>
        <v>3313.45</v>
      </c>
      <c r="Q241" s="2"/>
      <c r="R241" s="22">
        <f t="shared" si="147"/>
        <v>5.8430545376174532E-4</v>
      </c>
      <c r="S241" s="2"/>
      <c r="T241" s="2"/>
      <c r="U241" s="2"/>
      <c r="V241" s="22">
        <f t="shared" si="148"/>
        <v>0</v>
      </c>
      <c r="W241" s="2"/>
      <c r="X241" s="2">
        <f t="shared" si="149"/>
        <v>3313.45</v>
      </c>
      <c r="Y241" s="2"/>
      <c r="Z241" s="22">
        <f t="shared" si="150"/>
        <v>0</v>
      </c>
    </row>
    <row r="242" spans="1:26" s="24" customFormat="1" hidden="1" outlineLevel="1" x14ac:dyDescent="0.25">
      <c r="A242" s="51"/>
      <c r="B242" s="11" t="str">
        <f>CONCATENATE("          ", "9163", " - ", "MISC. INCOME")</f>
        <v xml:space="preserve">          9163 - MISC. INCOME</v>
      </c>
      <c r="C242" s="11"/>
      <c r="D242" s="2">
        <f>-3986.08</f>
        <v>-3986.08</v>
      </c>
      <c r="E242" s="2"/>
      <c r="F242" s="22">
        <f t="shared" si="143"/>
        <v>-1.0252922114183162E-2</v>
      </c>
      <c r="G242" s="2"/>
      <c r="H242" s="2"/>
      <c r="I242" s="2"/>
      <c r="J242" s="22">
        <f t="shared" si="144"/>
        <v>0</v>
      </c>
      <c r="K242" s="2"/>
      <c r="L242" s="2">
        <f t="shared" si="145"/>
        <v>-3986.08</v>
      </c>
      <c r="M242" s="2"/>
      <c r="N242" s="22">
        <f t="shared" si="146"/>
        <v>0</v>
      </c>
      <c r="O242" s="11"/>
      <c r="P242" s="2">
        <f>--171419.76</f>
        <v>171419.76</v>
      </c>
      <c r="Q242" s="2"/>
      <c r="R242" s="22">
        <f t="shared" si="147"/>
        <v>3.0228764777053971E-2</v>
      </c>
      <c r="S242" s="2"/>
      <c r="T242" s="2"/>
      <c r="U242" s="2"/>
      <c r="V242" s="22">
        <f t="shared" si="148"/>
        <v>0</v>
      </c>
      <c r="W242" s="2"/>
      <c r="X242" s="2">
        <f t="shared" si="149"/>
        <v>171419.76</v>
      </c>
      <c r="Y242" s="2"/>
      <c r="Z242" s="22">
        <f t="shared" si="150"/>
        <v>0</v>
      </c>
    </row>
    <row r="243" spans="1:26" x14ac:dyDescent="0.25">
      <c r="A243" s="9"/>
      <c r="B243" s="10"/>
      <c r="C243" s="10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O243" s="10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x14ac:dyDescent="0.25">
      <c r="A244" s="10"/>
      <c r="B244" s="25" t="s">
        <v>3</v>
      </c>
      <c r="C244" s="25"/>
      <c r="D244" s="19">
        <f>+D137-D139+D237</f>
        <v>25728.609999999899</v>
      </c>
      <c r="E244" s="13"/>
      <c r="F244" s="21">
        <f>IF(D$12=0,0,D244/D$12)</f>
        <v>6.6178660347056009E-2</v>
      </c>
      <c r="G244" s="13"/>
      <c r="H244" s="19">
        <f>+H137-H139+H237</f>
        <v>88672.14983792539</v>
      </c>
      <c r="I244" s="13"/>
      <c r="J244" s="21">
        <f>IF(H$12=0,0,H244/H$12)</f>
        <v>0.11399001642630666</v>
      </c>
      <c r="K244" s="15"/>
      <c r="L244" s="19">
        <f>+D244-H244</f>
        <v>-62943.539837925491</v>
      </c>
      <c r="M244" s="15"/>
      <c r="N244" s="21">
        <f>IF(H244=0,0,L244/H244)</f>
        <v>-0.70984564999239841</v>
      </c>
      <c r="O244" s="26"/>
      <c r="P244" s="19">
        <f>+P137-P139+P237</f>
        <v>51078.240000000922</v>
      </c>
      <c r="Q244" s="13"/>
      <c r="R244" s="21">
        <f>IF(P$12=0,0,P244/P$12)</f>
        <v>9.0073169055069104E-3</v>
      </c>
      <c r="S244" s="13"/>
      <c r="T244" s="19">
        <f>+T137-T139+T237</f>
        <v>739248.4624565444</v>
      </c>
      <c r="U244" s="13"/>
      <c r="V244" s="21">
        <f>IF(T$12=0,0,T244/T$12)</f>
        <v>8.1789676064252068E-2</v>
      </c>
      <c r="W244" s="15"/>
      <c r="X244" s="19">
        <f>+P244-T244</f>
        <v>-688170.22245654347</v>
      </c>
      <c r="Y244" s="15"/>
      <c r="Z244" s="21">
        <f>IF(T244=0,0,X244/T244)</f>
        <v>-0.9309051792542572</v>
      </c>
    </row>
    <row r="245" spans="1:26" x14ac:dyDescent="0.25">
      <c r="A245" s="9"/>
      <c r="B245" s="10"/>
      <c r="C245" s="9"/>
      <c r="D245" s="3"/>
      <c r="E245" s="3"/>
      <c r="F245" s="8"/>
      <c r="G245" s="3"/>
      <c r="H245" s="3"/>
      <c r="I245" s="3"/>
      <c r="J245" s="8"/>
      <c r="K245" s="3"/>
      <c r="L245" s="3"/>
      <c r="M245" s="3"/>
      <c r="N245" s="8"/>
      <c r="P245" s="3"/>
      <c r="Q245" s="3"/>
      <c r="R245" s="8"/>
      <c r="S245" s="3"/>
      <c r="T245" s="3"/>
      <c r="U245" s="3"/>
      <c r="V245" s="8"/>
      <c r="W245" s="3"/>
      <c r="X245" s="3"/>
      <c r="Y245" s="3"/>
      <c r="Z245" s="8"/>
    </row>
    <row r="246" spans="1:26" s="23" customFormat="1" x14ac:dyDescent="0.25">
      <c r="A246" s="52"/>
      <c r="B246" s="10" t="s">
        <v>14</v>
      </c>
      <c r="C246" s="10"/>
      <c r="D246" s="4">
        <v>164193.13</v>
      </c>
      <c r="E246" s="4"/>
      <c r="F246" s="12">
        <f>IF(D$12=0,0,D246/D$12)</f>
        <v>0.42233456768904559</v>
      </c>
      <c r="G246" s="4"/>
      <c r="H246" s="4">
        <v>119556</v>
      </c>
      <c r="I246" s="4"/>
      <c r="J246" s="12">
        <f>IF(H$12=0,0,H246/H$12)</f>
        <v>0.15369189118311749</v>
      </c>
      <c r="K246" s="4"/>
      <c r="L246" s="4">
        <f>+D246-H246</f>
        <v>44637.130000000005</v>
      </c>
      <c r="M246" s="4"/>
      <c r="N246" s="12">
        <f>IF(H246=0,0,L246/H246)</f>
        <v>0.37335750610592527</v>
      </c>
      <c r="O246" s="10"/>
      <c r="P246" s="4">
        <v>1123011.28</v>
      </c>
      <c r="Q246" s="4"/>
      <c r="R246" s="12">
        <f>IF(P$12=0,0,P246/P$12)</f>
        <v>0.19803576801821621</v>
      </c>
      <c r="S246" s="4"/>
      <c r="T246" s="4">
        <v>1558595</v>
      </c>
      <c r="U246" s="4"/>
      <c r="V246" s="12">
        <f>IF(T$12=0,0,T246/T$12)</f>
        <v>0.17244131931198503</v>
      </c>
      <c r="W246" s="4"/>
      <c r="X246" s="4">
        <f>+P246-T246</f>
        <v>-435583.72</v>
      </c>
      <c r="Y246" s="4"/>
      <c r="Z246" s="12">
        <f>IF(T246=0,0,X246/T246)</f>
        <v>-0.27947203731565928</v>
      </c>
    </row>
    <row r="247" spans="1:26" x14ac:dyDescent="0.25">
      <c r="A247" s="9"/>
      <c r="B247" s="10"/>
      <c r="C247" s="10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O247" s="10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ht="15.75" thickBot="1" x14ac:dyDescent="0.3">
      <c r="A248" s="10"/>
      <c r="B248" s="25" t="s">
        <v>4</v>
      </c>
      <c r="C248" s="25"/>
      <c r="D248" s="34">
        <f>+D244-D246</f>
        <v>-138464.52000000011</v>
      </c>
      <c r="E248" s="13"/>
      <c r="F248" s="30">
        <f>IF(D$12=0,0,D248/D$12)</f>
        <v>-0.35615590734198954</v>
      </c>
      <c r="G248" s="13"/>
      <c r="H248" s="34">
        <f>+H244-H246</f>
        <v>-30883.85016207461</v>
      </c>
      <c r="I248" s="13"/>
      <c r="J248" s="30">
        <f>IF(H$12=0,0,H248/H$12)</f>
        <v>-3.9701874756810841E-2</v>
      </c>
      <c r="K248" s="15"/>
      <c r="L248" s="34">
        <f>D248-H248</f>
        <v>-107580.6698379255</v>
      </c>
      <c r="M248" s="15"/>
      <c r="N248" s="30">
        <f>IF(H248=0,0,L248/H248)</f>
        <v>3.4833956670996491</v>
      </c>
      <c r="O248" s="26"/>
      <c r="P248" s="34">
        <f>+P244-P246</f>
        <v>-1071933.0399999991</v>
      </c>
      <c r="Q248" s="13"/>
      <c r="R248" s="30">
        <f>IF(P$12=0,0,P248/P$12)</f>
        <v>-0.18902845111270927</v>
      </c>
      <c r="S248" s="13"/>
      <c r="T248" s="34">
        <f>+T244-T246</f>
        <v>-819346.5375434556</v>
      </c>
      <c r="U248" s="13"/>
      <c r="V248" s="30">
        <f>IF(T$12=0,0,T248/T$12)</f>
        <v>-9.0651643247732963E-2</v>
      </c>
      <c r="W248" s="15"/>
      <c r="X248" s="34">
        <f>P248-T248</f>
        <v>-252586.5024565435</v>
      </c>
      <c r="Y248" s="15"/>
      <c r="Z248" s="30">
        <f>IF(T248=0,0,X248/T248)</f>
        <v>0.30827798847340232</v>
      </c>
    </row>
    <row r="249" spans="1:26" ht="15.75" thickTop="1" x14ac:dyDescent="0.25">
      <c r="A249" s="9"/>
      <c r="B249" s="9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x14ac:dyDescent="0.25">
      <c r="A250" s="9"/>
      <c r="B250" s="9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ht="15.75" thickBot="1" x14ac:dyDescent="0.3">
      <c r="A251" s="10"/>
      <c r="B251" s="25" t="s">
        <v>5</v>
      </c>
      <c r="C251" s="25"/>
      <c r="D251" s="35">
        <f>SUM(D248:D250)</f>
        <v>-138464.52000000011</v>
      </c>
      <c r="E251" s="13"/>
      <c r="F251" s="31">
        <f>IF(D$12=0,0,D251/D$12)</f>
        <v>-0.35615590734198954</v>
      </c>
      <c r="G251" s="13"/>
      <c r="H251" s="35">
        <f>SUM(H248:H250)</f>
        <v>-30883.85016207461</v>
      </c>
      <c r="I251" s="13"/>
      <c r="J251" s="31">
        <f>IF(H$12=0,0,H251/H$12)</f>
        <v>-3.9701874756810841E-2</v>
      </c>
      <c r="K251" s="15"/>
      <c r="L251" s="35">
        <f>+D251-H251</f>
        <v>-107580.6698379255</v>
      </c>
      <c r="M251" s="15"/>
      <c r="N251" s="31">
        <f>IF(H251=0,0,L251/H251)</f>
        <v>3.4833956670996491</v>
      </c>
      <c r="O251" s="26"/>
      <c r="P251" s="35">
        <f>SUM(P248:P250)</f>
        <v>-1071933.0399999991</v>
      </c>
      <c r="Q251" s="13"/>
      <c r="R251" s="31">
        <f>IF(P$12=0,0,P251/P$12)</f>
        <v>-0.18902845111270927</v>
      </c>
      <c r="S251" s="13"/>
      <c r="T251" s="35">
        <f>SUM(T248:T250)</f>
        <v>-819346.5375434556</v>
      </c>
      <c r="U251" s="13"/>
      <c r="V251" s="31">
        <f>IF(T$12=0,0,T251/T$12)</f>
        <v>-9.0651643247732963E-2</v>
      </c>
      <c r="W251" s="15"/>
      <c r="X251" s="35">
        <f>+P251-T251</f>
        <v>-252586.5024565435</v>
      </c>
      <c r="Y251" s="15"/>
      <c r="Z251" s="31">
        <f>IF(T251=0,0,X251/T251)</f>
        <v>0.30827798847340232</v>
      </c>
    </row>
    <row r="252" spans="1:26" ht="15.75" thickTop="1" x14ac:dyDescent="0.25">
      <c r="A252" s="9"/>
      <c r="C252" s="9"/>
      <c r="D252" s="18"/>
      <c r="E252" s="18"/>
      <c r="G252" s="18"/>
      <c r="H252" s="18"/>
      <c r="I252" s="18"/>
      <c r="J252" s="42"/>
      <c r="K252" s="18"/>
      <c r="L252" s="18"/>
      <c r="M252" s="18"/>
      <c r="P252" s="18"/>
      <c r="Q252" s="18"/>
      <c r="R252" s="42"/>
      <c r="S252" s="18"/>
      <c r="T252" s="18"/>
      <c r="U252" s="18"/>
      <c r="V252" s="42"/>
      <c r="W252" s="18"/>
      <c r="X252" s="18"/>
    </row>
    <row r="253" spans="1:26" x14ac:dyDescent="0.25">
      <c r="A253" s="9"/>
      <c r="B253" s="53">
        <v>44267.671343715279</v>
      </c>
      <c r="D253" s="18"/>
      <c r="E253" s="18"/>
      <c r="G253" s="18"/>
      <c r="H253" s="18"/>
      <c r="I253" s="18"/>
      <c r="J253" s="42"/>
      <c r="K253" s="18"/>
      <c r="L253" s="18"/>
      <c r="M253" s="18"/>
      <c r="P253" s="18"/>
      <c r="Q253" s="18"/>
      <c r="R253" s="42"/>
      <c r="S253" s="18"/>
      <c r="T253" s="18"/>
      <c r="U253" s="18"/>
      <c r="V253" s="42"/>
      <c r="W253" s="18"/>
      <c r="X253" s="18"/>
    </row>
    <row r="254" spans="1:26" x14ac:dyDescent="0.25">
      <c r="A254" s="9"/>
      <c r="B254" s="62" t="s">
        <v>314</v>
      </c>
      <c r="D254" s="18"/>
      <c r="E254" s="18"/>
      <c r="G254" s="18"/>
      <c r="H254" s="18"/>
      <c r="I254" s="18"/>
      <c r="J254" s="42"/>
      <c r="K254" s="18"/>
      <c r="L254" s="18"/>
      <c r="M254" s="18"/>
      <c r="P254" s="18"/>
      <c r="Q254" s="18"/>
      <c r="R254" s="42"/>
      <c r="S254" s="18"/>
      <c r="T254" s="18"/>
      <c r="U254" s="18"/>
      <c r="V254" s="42"/>
      <c r="W254" s="18"/>
      <c r="X254" s="18"/>
    </row>
    <row r="255" spans="1:26" x14ac:dyDescent="0.25">
      <c r="A255" s="9"/>
      <c r="B255" s="57"/>
      <c r="D255" s="18"/>
      <c r="E255" s="18"/>
      <c r="G255" s="18"/>
      <c r="H255" s="18"/>
      <c r="I255" s="18"/>
      <c r="J255" s="42"/>
      <c r="K255" s="18"/>
      <c r="L255" s="18"/>
      <c r="M255" s="18"/>
      <c r="P255" s="18"/>
      <c r="Q255" s="18"/>
      <c r="R255" s="42"/>
      <c r="S255" s="18"/>
      <c r="T255" s="18"/>
      <c r="U255" s="18"/>
      <c r="V255" s="42"/>
      <c r="W255" s="18"/>
      <c r="X255" s="18"/>
    </row>
    <row r="256" spans="1:26" x14ac:dyDescent="0.25">
      <c r="D256" s="18"/>
      <c r="E256" s="18"/>
      <c r="G256" s="18"/>
      <c r="H256" s="18"/>
      <c r="I256" s="18"/>
      <c r="J256" s="42"/>
      <c r="K256" s="18"/>
      <c r="L256" s="18"/>
      <c r="M256" s="18"/>
      <c r="P256" s="18"/>
      <c r="Q256" s="18"/>
      <c r="R256" s="42"/>
      <c r="S256" s="18"/>
      <c r="T256" s="18"/>
      <c r="U256" s="18"/>
      <c r="V256" s="42"/>
      <c r="W256" s="18"/>
      <c r="X256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7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123498.38999999996</v>
      </c>
      <c r="E18" s="20"/>
      <c r="F18" s="33">
        <f t="shared" ref="F18:F29" si="0">IF(D$12=0,0,D18/D$12)</f>
        <v>0</v>
      </c>
      <c r="G18" s="20"/>
      <c r="H18" s="20">
        <f>SUM(OSRRefH22x_0)</f>
        <v>118394.81285820153</v>
      </c>
      <c r="I18" s="20"/>
      <c r="J18" s="33">
        <f t="shared" ref="J18:J29" si="1">IF(H$12=0,0,H18/H$12)</f>
        <v>0</v>
      </c>
      <c r="K18" s="4"/>
      <c r="L18" s="20">
        <f t="shared" ref="L18:L29" si="2">+D18-H18</f>
        <v>5103.5771417984215</v>
      </c>
      <c r="M18" s="4"/>
      <c r="N18" s="33">
        <f t="shared" ref="N18:N29" si="3">IF(H18=0,0,L18/H18)</f>
        <v>4.3106425176843231E-2</v>
      </c>
      <c r="O18" s="10"/>
      <c r="P18" s="20">
        <f>SUM(OSRRefP22x_0)</f>
        <v>999545.90000000014</v>
      </c>
      <c r="Q18" s="20"/>
      <c r="R18" s="33">
        <f t="shared" ref="R18:R29" si="4">IF(P$12=0,0,P18/P$12)</f>
        <v>0</v>
      </c>
      <c r="S18" s="20"/>
      <c r="T18" s="20">
        <f>SUM(OSRRefT22x_0)</f>
        <v>1204086.7128211535</v>
      </c>
      <c r="U18" s="20"/>
      <c r="V18" s="33">
        <f t="shared" ref="V18:V29" si="5">IF(T$12=0,0,T18/T$12)</f>
        <v>0</v>
      </c>
      <c r="W18" s="4"/>
      <c r="X18" s="20">
        <f t="shared" ref="X18:X29" si="6">+P18-T18</f>
        <v>-204540.81282115332</v>
      </c>
      <c r="Y18" s="4"/>
      <c r="Z18" s="33">
        <f t="shared" ref="Z18:Z29" si="7">IF(T18=0,0,X18/T18)</f>
        <v>-0.16987216173320099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11356.98</v>
      </c>
      <c r="E19" s="1"/>
      <c r="F19" s="5">
        <f t="shared" si="0"/>
        <v>0</v>
      </c>
      <c r="G19" s="1"/>
      <c r="H19" s="1">
        <f>SUM(OSRRefH22_0x_0)</f>
        <v>7863.6446582015387</v>
      </c>
      <c r="I19" s="1"/>
      <c r="J19" s="5">
        <f t="shared" si="1"/>
        <v>0</v>
      </c>
      <c r="K19" s="1"/>
      <c r="L19" s="1">
        <f t="shared" si="2"/>
        <v>3493.3353417984608</v>
      </c>
      <c r="M19" s="1"/>
      <c r="N19" s="5">
        <f t="shared" si="3"/>
        <v>0.44423870783060115</v>
      </c>
      <c r="O19" s="14"/>
      <c r="P19" s="1">
        <f>SUM(OSRRefP22_0x_0)</f>
        <v>74168.800000000003</v>
      </c>
      <c r="Q19" s="1"/>
      <c r="R19" s="5">
        <f t="shared" si="4"/>
        <v>0</v>
      </c>
      <c r="S19" s="1"/>
      <c r="T19" s="1">
        <f>SUM(OSRRefT22_0x_0)</f>
        <v>72191.058371153471</v>
      </c>
      <c r="U19" s="1"/>
      <c r="V19" s="5">
        <f t="shared" si="5"/>
        <v>0</v>
      </c>
      <c r="W19" s="1"/>
      <c r="X19" s="1">
        <f t="shared" si="6"/>
        <v>1977.741628846532</v>
      </c>
      <c r="Y19" s="1"/>
      <c r="Z19" s="5">
        <f t="shared" si="7"/>
        <v>2.7395936193073043E-2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2042.25</v>
      </c>
      <c r="E20" s="2"/>
      <c r="F20" s="6">
        <f t="shared" si="0"/>
        <v>0</v>
      </c>
      <c r="G20" s="2"/>
      <c r="H20" s="7">
        <v>1621.0965719399999</v>
      </c>
      <c r="I20" s="2"/>
      <c r="J20" s="6">
        <f t="shared" si="1"/>
        <v>0</v>
      </c>
      <c r="K20" s="2"/>
      <c r="L20" s="7">
        <f t="shared" si="2"/>
        <v>421.15342806000012</v>
      </c>
      <c r="M20" s="2"/>
      <c r="N20" s="6">
        <f t="shared" si="3"/>
        <v>0.25979539735624579</v>
      </c>
      <c r="O20" s="11"/>
      <c r="P20" s="7">
        <v>19142.329999999998</v>
      </c>
      <c r="Q20" s="2"/>
      <c r="R20" s="6">
        <f t="shared" si="4"/>
        <v>0</v>
      </c>
      <c r="S20" s="2"/>
      <c r="T20" s="7">
        <v>17273.78225506502</v>
      </c>
      <c r="U20" s="2"/>
      <c r="V20" s="6">
        <f t="shared" si="5"/>
        <v>0</v>
      </c>
      <c r="W20" s="2"/>
      <c r="X20" s="7">
        <f t="shared" si="6"/>
        <v>1868.5477449349783</v>
      </c>
      <c r="Y20" s="2"/>
      <c r="Z20" s="6">
        <f t="shared" si="7"/>
        <v>0.10817247301974543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626.67999999999995</v>
      </c>
      <c r="E21" s="2"/>
      <c r="F21" s="6">
        <f t="shared" si="0"/>
        <v>0</v>
      </c>
      <c r="G21" s="2"/>
      <c r="H21" s="7">
        <v>683.56423299999994</v>
      </c>
      <c r="I21" s="2"/>
      <c r="J21" s="6">
        <f t="shared" si="1"/>
        <v>0</v>
      </c>
      <c r="K21" s="2"/>
      <c r="L21" s="7">
        <f t="shared" si="2"/>
        <v>-56.884232999999995</v>
      </c>
      <c r="M21" s="2"/>
      <c r="N21" s="6">
        <f t="shared" si="3"/>
        <v>-8.321709980399164E-2</v>
      </c>
      <c r="O21" s="11"/>
      <c r="P21" s="7">
        <v>5858.63</v>
      </c>
      <c r="Q21" s="2"/>
      <c r="R21" s="6">
        <f t="shared" si="4"/>
        <v>0</v>
      </c>
      <c r="S21" s="2"/>
      <c r="T21" s="7">
        <v>7232.5529942499943</v>
      </c>
      <c r="U21" s="2"/>
      <c r="V21" s="6">
        <f t="shared" si="5"/>
        <v>0</v>
      </c>
      <c r="W21" s="2"/>
      <c r="X21" s="7">
        <f t="shared" si="6"/>
        <v>-1373.9229942499942</v>
      </c>
      <c r="Y21" s="2"/>
      <c r="Z21" s="6">
        <f t="shared" si="7"/>
        <v>-0.18996376457141578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5096.28</v>
      </c>
      <c r="E22" s="2"/>
      <c r="F22" s="6">
        <f t="shared" si="0"/>
        <v>0</v>
      </c>
      <c r="G22" s="2"/>
      <c r="H22" s="7">
        <v>3355.9615384615399</v>
      </c>
      <c r="I22" s="2"/>
      <c r="J22" s="6">
        <f t="shared" si="1"/>
        <v>0</v>
      </c>
      <c r="K22" s="2"/>
      <c r="L22" s="7">
        <f t="shared" si="2"/>
        <v>1740.3184615384598</v>
      </c>
      <c r="M22" s="2"/>
      <c r="N22" s="6">
        <f t="shared" si="3"/>
        <v>0.51857521058965028</v>
      </c>
      <c r="O22" s="11"/>
      <c r="P22" s="7">
        <v>20044.289999999997</v>
      </c>
      <c r="Q22" s="2"/>
      <c r="R22" s="6">
        <f t="shared" si="4"/>
        <v>0</v>
      </c>
      <c r="S22" s="2"/>
      <c r="T22" s="7">
        <v>27806.538461538461</v>
      </c>
      <c r="U22" s="2"/>
      <c r="V22" s="6">
        <f t="shared" si="5"/>
        <v>0</v>
      </c>
      <c r="W22" s="2"/>
      <c r="X22" s="7">
        <f t="shared" si="6"/>
        <v>-7762.2484615384637</v>
      </c>
      <c r="Y22" s="2"/>
      <c r="Z22" s="6">
        <f t="shared" si="7"/>
        <v>-0.2791519150172207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96.97</v>
      </c>
      <c r="E23" s="2"/>
      <c r="F23" s="6">
        <f t="shared" si="0"/>
        <v>0</v>
      </c>
      <c r="G23" s="2"/>
      <c r="H23" s="7">
        <v>96.068486800000002</v>
      </c>
      <c r="I23" s="2"/>
      <c r="J23" s="6">
        <f t="shared" si="1"/>
        <v>0</v>
      </c>
      <c r="K23" s="2"/>
      <c r="L23" s="7">
        <f t="shared" si="2"/>
        <v>0.90151319999999657</v>
      </c>
      <c r="M23" s="2"/>
      <c r="N23" s="6">
        <f t="shared" si="3"/>
        <v>9.3840678668834464E-3</v>
      </c>
      <c r="O23" s="11"/>
      <c r="P23" s="7">
        <v>917.39</v>
      </c>
      <c r="Q23" s="2"/>
      <c r="R23" s="6">
        <f t="shared" si="4"/>
        <v>0</v>
      </c>
      <c r="S23" s="2"/>
      <c r="T23" s="7">
        <v>1016.4669073</v>
      </c>
      <c r="U23" s="2"/>
      <c r="V23" s="6">
        <f t="shared" si="5"/>
        <v>0</v>
      </c>
      <c r="W23" s="2"/>
      <c r="X23" s="7">
        <f t="shared" si="6"/>
        <v>-99.076907300000016</v>
      </c>
      <c r="Y23" s="2"/>
      <c r="Z23" s="6">
        <f t="shared" si="7"/>
        <v>-9.7471847424107499E-2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1040.94</v>
      </c>
      <c r="E24" s="2"/>
      <c r="F24" s="6">
        <f t="shared" si="0"/>
        <v>0</v>
      </c>
      <c r="G24" s="2"/>
      <c r="H24" s="7">
        <v>750.13482799999997</v>
      </c>
      <c r="I24" s="2"/>
      <c r="J24" s="6">
        <f t="shared" si="1"/>
        <v>0</v>
      </c>
      <c r="K24" s="2"/>
      <c r="L24" s="7">
        <f t="shared" si="2"/>
        <v>290.80517200000008</v>
      </c>
      <c r="M24" s="2"/>
      <c r="N24" s="6">
        <f t="shared" si="3"/>
        <v>0.38767053754235242</v>
      </c>
      <c r="O24" s="11"/>
      <c r="P24" s="7">
        <v>10509.83</v>
      </c>
      <c r="Q24" s="2"/>
      <c r="R24" s="6">
        <f t="shared" si="4"/>
        <v>0</v>
      </c>
      <c r="S24" s="2"/>
      <c r="T24" s="7">
        <v>6444.1142030000001</v>
      </c>
      <c r="U24" s="2"/>
      <c r="V24" s="6">
        <f t="shared" si="5"/>
        <v>0</v>
      </c>
      <c r="W24" s="2"/>
      <c r="X24" s="7">
        <f t="shared" si="6"/>
        <v>4065.7157969999998</v>
      </c>
      <c r="Y24" s="2"/>
      <c r="Z24" s="6">
        <f t="shared" si="7"/>
        <v>0.63091926507249696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210.48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210.48</v>
      </c>
      <c r="M26" s="2"/>
      <c r="N26" s="6">
        <f t="shared" si="3"/>
        <v>0</v>
      </c>
      <c r="O26" s="11"/>
      <c r="P26" s="7">
        <v>609.44000000000005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609.44000000000005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1188.92</v>
      </c>
      <c r="E27" s="2"/>
      <c r="F27" s="6">
        <f t="shared" si="0"/>
        <v>0</v>
      </c>
      <c r="G27" s="2"/>
      <c r="H27" s="7">
        <v>556.12490000000003</v>
      </c>
      <c r="I27" s="2"/>
      <c r="J27" s="6">
        <f t="shared" si="1"/>
        <v>0</v>
      </c>
      <c r="K27" s="2"/>
      <c r="L27" s="7">
        <f t="shared" si="2"/>
        <v>632.79510000000005</v>
      </c>
      <c r="M27" s="2"/>
      <c r="N27" s="6">
        <f t="shared" si="3"/>
        <v>1.1378650731157696</v>
      </c>
      <c r="O27" s="11"/>
      <c r="P27" s="7">
        <v>9071.77</v>
      </c>
      <c r="Q27" s="2"/>
      <c r="R27" s="6">
        <f t="shared" si="4"/>
        <v>0</v>
      </c>
      <c r="S27" s="2"/>
      <c r="T27" s="7">
        <v>4796.5780250000016</v>
      </c>
      <c r="U27" s="2"/>
      <c r="V27" s="6">
        <f t="shared" si="5"/>
        <v>0</v>
      </c>
      <c r="W27" s="2"/>
      <c r="X27" s="7">
        <f t="shared" si="6"/>
        <v>4275.1919749999988</v>
      </c>
      <c r="Y27" s="2"/>
      <c r="Z27" s="6">
        <f t="shared" si="7"/>
        <v>0.89130041306896024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832.35</v>
      </c>
      <c r="E28" s="2"/>
      <c r="F28" s="6">
        <f t="shared" si="0"/>
        <v>0</v>
      </c>
      <c r="G28" s="2"/>
      <c r="H28" s="7">
        <v>800.69410000000005</v>
      </c>
      <c r="I28" s="2"/>
      <c r="J28" s="6">
        <f t="shared" si="1"/>
        <v>0</v>
      </c>
      <c r="K28" s="2"/>
      <c r="L28" s="7">
        <f t="shared" si="2"/>
        <v>31.655899999999974</v>
      </c>
      <c r="M28" s="2"/>
      <c r="N28" s="6">
        <f t="shared" si="3"/>
        <v>3.9535572948520503E-2</v>
      </c>
      <c r="O28" s="11"/>
      <c r="P28" s="7">
        <v>6102.73</v>
      </c>
      <c r="Q28" s="2"/>
      <c r="R28" s="6">
        <f t="shared" si="4"/>
        <v>0</v>
      </c>
      <c r="S28" s="2"/>
      <c r="T28" s="7">
        <v>7621.0255249999991</v>
      </c>
      <c r="U28" s="2"/>
      <c r="V28" s="6">
        <f t="shared" si="5"/>
        <v>0</v>
      </c>
      <c r="W28" s="2"/>
      <c r="X28" s="7">
        <f t="shared" si="6"/>
        <v>-1518.2955249999995</v>
      </c>
      <c r="Y28" s="2"/>
      <c r="Z28" s="6">
        <f t="shared" si="7"/>
        <v>-0.19922456892702767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222.11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222.11</v>
      </c>
      <c r="M29" s="2"/>
      <c r="N29" s="6">
        <f t="shared" si="3"/>
        <v>0</v>
      </c>
      <c r="O29" s="11"/>
      <c r="P29" s="7">
        <v>1510.49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1510.49</v>
      </c>
      <c r="Y29" s="2"/>
      <c r="Z29" s="6">
        <f t="shared" si="7"/>
        <v>0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35013.24</v>
      </c>
      <c r="E30" s="1"/>
      <c r="F30" s="5">
        <f t="shared" ref="F30:F40" si="8">IF(D$12=0,0,D30/D$12)</f>
        <v>0</v>
      </c>
      <c r="G30" s="1"/>
      <c r="H30" s="1">
        <f>SUM(OSRRefH22_1x_0)</f>
        <v>35877.1682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-863.92820000000211</v>
      </c>
      <c r="M30" s="1"/>
      <c r="N30" s="5">
        <f t="shared" ref="N30:N40" si="11">IF(H30=0,0,L30/H30)</f>
        <v>-2.4080166951415138E-2</v>
      </c>
      <c r="O30" s="14"/>
      <c r="P30" s="1">
        <f>SUM(OSRRefP22_1x_0)</f>
        <v>343603.56</v>
      </c>
      <c r="Q30" s="1"/>
      <c r="R30" s="5">
        <f t="shared" ref="R30:R40" si="12">IF(P$12=0,0,P30/P$12)</f>
        <v>0</v>
      </c>
      <c r="S30" s="1"/>
      <c r="T30" s="1">
        <f>SUM(OSRRefT22_1x_0)</f>
        <v>381705.65445000003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-38102.094450000033</v>
      </c>
      <c r="Y30" s="1"/>
      <c r="Z30" s="5">
        <f t="shared" ref="Z30:Z40" si="15">IF(T30=0,0,X30/T30)</f>
        <v>-9.9820618337188041E-2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4280.74</v>
      </c>
      <c r="E31" s="2"/>
      <c r="F31" s="6">
        <f t="shared" si="8"/>
        <v>0</v>
      </c>
      <c r="G31" s="2"/>
      <c r="H31" s="7">
        <v>3807.6923076923099</v>
      </c>
      <c r="I31" s="2"/>
      <c r="J31" s="6">
        <f t="shared" si="9"/>
        <v>0</v>
      </c>
      <c r="K31" s="2"/>
      <c r="L31" s="7">
        <f t="shared" si="10"/>
        <v>473.04769230768989</v>
      </c>
      <c r="M31" s="2"/>
      <c r="N31" s="6">
        <f t="shared" si="11"/>
        <v>0.12423474747474676</v>
      </c>
      <c r="O31" s="11"/>
      <c r="P31" s="7">
        <v>34807.910000000003</v>
      </c>
      <c r="Q31" s="2"/>
      <c r="R31" s="6">
        <f t="shared" si="12"/>
        <v>0</v>
      </c>
      <c r="S31" s="2"/>
      <c r="T31" s="7">
        <v>33317.307692307724</v>
      </c>
      <c r="U31" s="2"/>
      <c r="V31" s="6">
        <f t="shared" si="13"/>
        <v>0</v>
      </c>
      <c r="W31" s="2"/>
      <c r="X31" s="7">
        <f t="shared" si="14"/>
        <v>1490.6023076922793</v>
      </c>
      <c r="Y31" s="2"/>
      <c r="Z31" s="6">
        <f t="shared" si="15"/>
        <v>4.4739578643577749E-2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9336.56</v>
      </c>
      <c r="E32" s="2"/>
      <c r="F32" s="6">
        <f t="shared" si="8"/>
        <v>0</v>
      </c>
      <c r="G32" s="2"/>
      <c r="H32" s="7">
        <v>4042.5558923076901</v>
      </c>
      <c r="I32" s="2"/>
      <c r="J32" s="6">
        <f t="shared" si="9"/>
        <v>0</v>
      </c>
      <c r="K32" s="2"/>
      <c r="L32" s="7">
        <f t="shared" si="10"/>
        <v>5294.0041076923098</v>
      </c>
      <c r="M32" s="2"/>
      <c r="N32" s="6">
        <f t="shared" si="11"/>
        <v>1.309568562246948</v>
      </c>
      <c r="O32" s="11"/>
      <c r="P32" s="7">
        <v>73079.360000000001</v>
      </c>
      <c r="Q32" s="2"/>
      <c r="R32" s="6">
        <f t="shared" si="12"/>
        <v>0</v>
      </c>
      <c r="S32" s="2"/>
      <c r="T32" s="7">
        <v>34121.096757692307</v>
      </c>
      <c r="U32" s="2"/>
      <c r="V32" s="6">
        <f t="shared" si="13"/>
        <v>0</v>
      </c>
      <c r="W32" s="2"/>
      <c r="X32" s="7">
        <f t="shared" si="14"/>
        <v>38958.263242307694</v>
      </c>
      <c r="Y32" s="2"/>
      <c r="Z32" s="6">
        <f t="shared" si="15"/>
        <v>1.1417646835612014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>
        <v>5911.76</v>
      </c>
      <c r="E34" s="2"/>
      <c r="F34" s="6">
        <f t="shared" si="8"/>
        <v>0</v>
      </c>
      <c r="G34" s="2"/>
      <c r="H34" s="7">
        <v>12260</v>
      </c>
      <c r="I34" s="2"/>
      <c r="J34" s="6">
        <f t="shared" si="9"/>
        <v>0</v>
      </c>
      <c r="K34" s="2"/>
      <c r="L34" s="7">
        <f t="shared" si="10"/>
        <v>-6348.24</v>
      </c>
      <c r="M34" s="2"/>
      <c r="N34" s="6">
        <f t="shared" si="11"/>
        <v>-0.51780097879282216</v>
      </c>
      <c r="O34" s="11"/>
      <c r="P34" s="7">
        <v>22376.09</v>
      </c>
      <c r="Q34" s="2"/>
      <c r="R34" s="6">
        <f t="shared" si="12"/>
        <v>0</v>
      </c>
      <c r="S34" s="2"/>
      <c r="T34" s="7">
        <v>106105</v>
      </c>
      <c r="U34" s="2"/>
      <c r="V34" s="6">
        <f t="shared" si="13"/>
        <v>0</v>
      </c>
      <c r="W34" s="2"/>
      <c r="X34" s="7">
        <f t="shared" si="14"/>
        <v>-83728.91</v>
      </c>
      <c r="Y34" s="2"/>
      <c r="Z34" s="6">
        <f t="shared" si="15"/>
        <v>-0.7891137081193158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6009.35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6009.35</v>
      </c>
      <c r="M35" s="2"/>
      <c r="N35" s="6">
        <f t="shared" si="11"/>
        <v>0</v>
      </c>
      <c r="O35" s="11"/>
      <c r="P35" s="7">
        <v>60327.19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60327.19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>
        <v>748.02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748.02</v>
      </c>
      <c r="M36" s="2"/>
      <c r="N36" s="6">
        <f t="shared" si="11"/>
        <v>0</v>
      </c>
      <c r="O36" s="11"/>
      <c r="P36" s="7">
        <v>10233.69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10233.69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>
        <v>8726.81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8726.81</v>
      </c>
      <c r="M37" s="2"/>
      <c r="N37" s="6">
        <f t="shared" si="11"/>
        <v>0</v>
      </c>
      <c r="O37" s="11"/>
      <c r="P37" s="7">
        <v>142779.32</v>
      </c>
      <c r="Q37" s="2"/>
      <c r="R37" s="6">
        <f t="shared" si="12"/>
        <v>0</v>
      </c>
      <c r="S37" s="2"/>
      <c r="T37" s="7">
        <v>42926</v>
      </c>
      <c r="U37" s="2"/>
      <c r="V37" s="6">
        <f t="shared" si="13"/>
        <v>0</v>
      </c>
      <c r="W37" s="2"/>
      <c r="X37" s="7">
        <f t="shared" si="14"/>
        <v>99853.32</v>
      </c>
      <c r="Y37" s="2"/>
      <c r="Z37" s="6">
        <f t="shared" si="15"/>
        <v>2.3261734147136934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15766.92</v>
      </c>
      <c r="I38" s="2"/>
      <c r="J38" s="6">
        <f t="shared" si="9"/>
        <v>0</v>
      </c>
      <c r="K38" s="2"/>
      <c r="L38" s="7">
        <f t="shared" si="10"/>
        <v>-15766.92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165236.25</v>
      </c>
      <c r="U38" s="2"/>
      <c r="V38" s="6">
        <f t="shared" si="13"/>
        <v>0</v>
      </c>
      <c r="W38" s="2"/>
      <c r="X38" s="7">
        <f t="shared" si="14"/>
        <v>-165236.25</v>
      </c>
      <c r="Y38" s="2"/>
      <c r="Z38" s="6">
        <f t="shared" si="15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225</v>
      </c>
      <c r="Q41" s="1"/>
      <c r="R41" s="5">
        <f t="shared" ref="R41:R45" si="20">IF(P$12=0,0,P41/P$12)</f>
        <v>0</v>
      </c>
      <c r="S41" s="1"/>
      <c r="T41" s="1">
        <f>SUM(OSRRefT22_2x_0)</f>
        <v>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225</v>
      </c>
      <c r="Y41" s="1"/>
      <c r="Z41" s="5">
        <f t="shared" ref="Z41:Z45" si="23">IF(T41=0,0,X41/T41)</f>
        <v>0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225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225</v>
      </c>
      <c r="Y42" s="2"/>
      <c r="Z42" s="6">
        <f t="shared" si="23"/>
        <v>0</v>
      </c>
    </row>
    <row r="43" spans="1:26" s="28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3283.5499999999997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3183.5499999999997</v>
      </c>
      <c r="M43" s="1"/>
      <c r="N43" s="5">
        <f t="shared" si="19"/>
        <v>31.835499999999996</v>
      </c>
      <c r="O43" s="14"/>
      <c r="P43" s="1">
        <f>SUM(OSRRefP22_3x_0)</f>
        <v>5202.3100000000004</v>
      </c>
      <c r="Q43" s="1"/>
      <c r="R43" s="5">
        <f t="shared" si="20"/>
        <v>0</v>
      </c>
      <c r="S43" s="1"/>
      <c r="T43" s="1">
        <f>SUM(OSRRefT22_3x_0)</f>
        <v>800</v>
      </c>
      <c r="U43" s="1"/>
      <c r="V43" s="5">
        <f t="shared" si="21"/>
        <v>0</v>
      </c>
      <c r="W43" s="1"/>
      <c r="X43" s="1">
        <f t="shared" si="22"/>
        <v>4402.3100000000004</v>
      </c>
      <c r="Y43" s="1"/>
      <c r="Z43" s="5">
        <f t="shared" si="23"/>
        <v>5.5028875000000008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>
        <v>-69.09</v>
      </c>
      <c r="E44" s="2"/>
      <c r="F44" s="6">
        <f t="shared" si="16"/>
        <v>0</v>
      </c>
      <c r="G44" s="2"/>
      <c r="H44" s="7">
        <v>50</v>
      </c>
      <c r="I44" s="2"/>
      <c r="J44" s="6">
        <f t="shared" si="17"/>
        <v>0</v>
      </c>
      <c r="K44" s="2"/>
      <c r="L44" s="7">
        <f t="shared" si="18"/>
        <v>-119.09</v>
      </c>
      <c r="M44" s="2"/>
      <c r="N44" s="6">
        <f t="shared" si="19"/>
        <v>-2.3818000000000001</v>
      </c>
      <c r="O44" s="11"/>
      <c r="P44" s="7">
        <v>-147.11000000000001</v>
      </c>
      <c r="Q44" s="2"/>
      <c r="R44" s="6">
        <f t="shared" si="20"/>
        <v>0</v>
      </c>
      <c r="S44" s="2"/>
      <c r="T44" s="7">
        <v>400</v>
      </c>
      <c r="U44" s="2"/>
      <c r="V44" s="6">
        <f t="shared" si="21"/>
        <v>0</v>
      </c>
      <c r="W44" s="2"/>
      <c r="X44" s="7">
        <f t="shared" si="22"/>
        <v>-547.11</v>
      </c>
      <c r="Y44" s="2"/>
      <c r="Z44" s="6">
        <f t="shared" si="23"/>
        <v>-1.367775</v>
      </c>
    </row>
    <row r="45" spans="1:26" s="24" customFormat="1" hidden="1" outlineLevel="2" x14ac:dyDescent="0.25">
      <c r="A45" s="27"/>
      <c r="B45" s="11" t="str">
        <f>CONCATENATE("          ", "6342", " - ", "BAD DEBT")</f>
        <v xml:space="preserve">          6342 - BAD DEBT</v>
      </c>
      <c r="C45" s="11"/>
      <c r="D45" s="7">
        <v>3352.64</v>
      </c>
      <c r="E45" s="2"/>
      <c r="F45" s="6">
        <f t="shared" si="16"/>
        <v>0</v>
      </c>
      <c r="G45" s="2"/>
      <c r="H45" s="7">
        <v>50</v>
      </c>
      <c r="I45" s="2"/>
      <c r="J45" s="6">
        <f t="shared" si="17"/>
        <v>0</v>
      </c>
      <c r="K45" s="2"/>
      <c r="L45" s="7">
        <f t="shared" si="18"/>
        <v>3302.64</v>
      </c>
      <c r="M45" s="2"/>
      <c r="N45" s="6">
        <f t="shared" si="19"/>
        <v>66.052799999999991</v>
      </c>
      <c r="O45" s="11"/>
      <c r="P45" s="7">
        <v>5349.42</v>
      </c>
      <c r="Q45" s="2"/>
      <c r="R45" s="6">
        <f t="shared" si="20"/>
        <v>0</v>
      </c>
      <c r="S45" s="2"/>
      <c r="T45" s="7">
        <v>400</v>
      </c>
      <c r="U45" s="2"/>
      <c r="V45" s="6">
        <f t="shared" si="21"/>
        <v>0</v>
      </c>
      <c r="W45" s="2"/>
      <c r="X45" s="7">
        <f t="shared" si="22"/>
        <v>4949.42</v>
      </c>
      <c r="Y45" s="2"/>
      <c r="Z45" s="6">
        <f t="shared" si="23"/>
        <v>12.37355</v>
      </c>
    </row>
    <row r="46" spans="1:26" s="28" customFormat="1" outlineLevel="1" collapsed="1" x14ac:dyDescent="0.25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3447.7</v>
      </c>
      <c r="E46" s="1"/>
      <c r="F46" s="5">
        <f t="shared" ref="F46:F50" si="24">IF(D$12=0,0,D46/D$12)</f>
        <v>0</v>
      </c>
      <c r="G46" s="1"/>
      <c r="H46" s="1">
        <f>SUM(OSRRefH22_4x_0)</f>
        <v>12000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-8552.2999999999993</v>
      </c>
      <c r="M46" s="1"/>
      <c r="N46" s="5">
        <f t="shared" ref="N46:N50" si="27">IF(H46=0,0,L46/H46)</f>
        <v>-0.71269166666666661</v>
      </c>
      <c r="O46" s="14"/>
      <c r="P46" s="1">
        <f>SUM(OSRRefP22_4x_0)</f>
        <v>62633.35</v>
      </c>
      <c r="Q46" s="1"/>
      <c r="R46" s="5">
        <f t="shared" ref="R46:R50" si="28">IF(P$12=0,0,P46/P$12)</f>
        <v>0</v>
      </c>
      <c r="S46" s="1"/>
      <c r="T46" s="1">
        <f>SUM(OSRRefT22_4x_0)</f>
        <v>140000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-77366.649999999994</v>
      </c>
      <c r="Y46" s="1"/>
      <c r="Z46" s="5">
        <f t="shared" ref="Z46:Z50" si="31">IF(T46=0,0,X46/T46)</f>
        <v>-0.55261892857142858</v>
      </c>
    </row>
    <row r="47" spans="1:26" s="24" customFormat="1" hidden="1" outlineLevel="2" x14ac:dyDescent="0.25">
      <c r="A47" s="27"/>
      <c r="B47" s="11" t="str">
        <f>CONCATENATE("          ", "6381", " - ", "BANK/CREDIT CARD FEES")</f>
        <v xml:space="preserve">          6381 - BANK/CREDIT CARD FEES</v>
      </c>
      <c r="C47" s="11"/>
      <c r="D47" s="7">
        <v>3447.7</v>
      </c>
      <c r="E47" s="2"/>
      <c r="F47" s="6">
        <f t="shared" si="24"/>
        <v>0</v>
      </c>
      <c r="G47" s="2"/>
      <c r="H47" s="7">
        <v>12000</v>
      </c>
      <c r="I47" s="2"/>
      <c r="J47" s="6">
        <f t="shared" si="25"/>
        <v>0</v>
      </c>
      <c r="K47" s="2"/>
      <c r="L47" s="7">
        <f t="shared" si="26"/>
        <v>-8552.2999999999993</v>
      </c>
      <c r="M47" s="2"/>
      <c r="N47" s="6">
        <f t="shared" si="27"/>
        <v>-0.71269166666666661</v>
      </c>
      <c r="O47" s="11"/>
      <c r="P47" s="7">
        <v>62633.35</v>
      </c>
      <c r="Q47" s="2"/>
      <c r="R47" s="6">
        <f t="shared" si="28"/>
        <v>0</v>
      </c>
      <c r="S47" s="2"/>
      <c r="T47" s="7">
        <v>140000</v>
      </c>
      <c r="U47" s="2"/>
      <c r="V47" s="6">
        <f t="shared" si="29"/>
        <v>0</v>
      </c>
      <c r="W47" s="2"/>
      <c r="X47" s="7">
        <f t="shared" si="30"/>
        <v>-77366.649999999994</v>
      </c>
      <c r="Y47" s="2"/>
      <c r="Z47" s="6">
        <f t="shared" si="31"/>
        <v>-0.55261892857142858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30565.97</v>
      </c>
      <c r="E48" s="1"/>
      <c r="F48" s="5">
        <f t="shared" si="24"/>
        <v>0</v>
      </c>
      <c r="G48" s="1"/>
      <c r="H48" s="1">
        <f>SUM(OSRRefH22_5x_0)</f>
        <v>30124</v>
      </c>
      <c r="I48" s="1"/>
      <c r="J48" s="5">
        <f t="shared" si="25"/>
        <v>0</v>
      </c>
      <c r="K48" s="1"/>
      <c r="L48" s="1">
        <f t="shared" si="26"/>
        <v>441.97000000000116</v>
      </c>
      <c r="M48" s="1"/>
      <c r="N48" s="5">
        <f t="shared" si="27"/>
        <v>1.4671690346567559E-2</v>
      </c>
      <c r="O48" s="14"/>
      <c r="P48" s="1">
        <f>SUM(OSRRefP22_5x_0)</f>
        <v>244823.25</v>
      </c>
      <c r="Q48" s="1"/>
      <c r="R48" s="5">
        <f t="shared" si="28"/>
        <v>0</v>
      </c>
      <c r="S48" s="1"/>
      <c r="T48" s="1">
        <f>SUM(OSRRefT22_5x_0)</f>
        <v>242000</v>
      </c>
      <c r="U48" s="1"/>
      <c r="V48" s="5">
        <f t="shared" si="29"/>
        <v>0</v>
      </c>
      <c r="W48" s="1"/>
      <c r="X48" s="1">
        <f t="shared" si="30"/>
        <v>2823.25</v>
      </c>
      <c r="Y48" s="1"/>
      <c r="Z48" s="5">
        <f t="shared" si="31"/>
        <v>1.1666322314049586E-2</v>
      </c>
    </row>
    <row r="49" spans="1:26" s="24" customFormat="1" hidden="1" outlineLevel="2" x14ac:dyDescent="0.25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16396.52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16396.52</v>
      </c>
      <c r="M49" s="2"/>
      <c r="N49" s="6">
        <f t="shared" si="27"/>
        <v>0</v>
      </c>
      <c r="O49" s="11"/>
      <c r="P49" s="7">
        <v>131172.16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131172.16</v>
      </c>
      <c r="Y49" s="2"/>
      <c r="Z49" s="6">
        <f t="shared" si="31"/>
        <v>0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14169.45</v>
      </c>
      <c r="E50" s="2"/>
      <c r="F50" s="6">
        <f t="shared" si="24"/>
        <v>0</v>
      </c>
      <c r="G50" s="2"/>
      <c r="H50" s="7">
        <v>30124</v>
      </c>
      <c r="I50" s="2"/>
      <c r="J50" s="6">
        <f t="shared" si="25"/>
        <v>0</v>
      </c>
      <c r="K50" s="2"/>
      <c r="L50" s="7">
        <f t="shared" si="26"/>
        <v>-15954.55</v>
      </c>
      <c r="M50" s="2"/>
      <c r="N50" s="6">
        <f t="shared" si="27"/>
        <v>-0.52962919930952057</v>
      </c>
      <c r="O50" s="11"/>
      <c r="P50" s="7">
        <v>113651.09000000001</v>
      </c>
      <c r="Q50" s="2"/>
      <c r="R50" s="6">
        <f t="shared" si="28"/>
        <v>0</v>
      </c>
      <c r="S50" s="2"/>
      <c r="T50" s="7">
        <v>242000</v>
      </c>
      <c r="U50" s="2"/>
      <c r="V50" s="6">
        <f t="shared" si="29"/>
        <v>0</v>
      </c>
      <c r="W50" s="2"/>
      <c r="X50" s="7">
        <f t="shared" si="30"/>
        <v>-128348.90999999999</v>
      </c>
      <c r="Y50" s="2"/>
      <c r="Z50" s="6">
        <f t="shared" si="31"/>
        <v>-0.53036739669421484</v>
      </c>
    </row>
    <row r="51" spans="1:26" s="28" customFormat="1" outlineLevel="1" collapsed="1" x14ac:dyDescent="0.25">
      <c r="A51" s="29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71" si="32">IF(D$12=0,0,D51/D$12)</f>
        <v>0</v>
      </c>
      <c r="G51" s="1"/>
      <c r="H51" s="1">
        <f>SUM(OSRRefH22_6x_0)</f>
        <v>1000</v>
      </c>
      <c r="I51" s="1"/>
      <c r="J51" s="5">
        <f t="shared" ref="J51:J71" si="33">IF(H$12=0,0,H51/H$12)</f>
        <v>0</v>
      </c>
      <c r="K51" s="1"/>
      <c r="L51" s="1">
        <f t="shared" ref="L51:L71" si="34">+D51-H51</f>
        <v>-1000</v>
      </c>
      <c r="M51" s="1"/>
      <c r="N51" s="5">
        <f t="shared" ref="N51:N71" si="35">IF(H51=0,0,L51/H51)</f>
        <v>-1</v>
      </c>
      <c r="O51" s="14"/>
      <c r="P51" s="1">
        <f>SUM(OSRRefP22_6x_0)</f>
        <v>0</v>
      </c>
      <c r="Q51" s="1"/>
      <c r="R51" s="5">
        <f t="shared" ref="R51:R71" si="36">IF(P$12=0,0,P51/P$12)</f>
        <v>0</v>
      </c>
      <c r="S51" s="1"/>
      <c r="T51" s="1">
        <f>SUM(OSRRefT22_6x_0)</f>
        <v>8000</v>
      </c>
      <c r="U51" s="1"/>
      <c r="V51" s="5">
        <f t="shared" ref="V51:V71" si="37">IF(T$12=0,0,T51/T$12)</f>
        <v>0</v>
      </c>
      <c r="W51" s="1"/>
      <c r="X51" s="1">
        <f t="shared" ref="X51:X71" si="38">+P51-T51</f>
        <v>-8000</v>
      </c>
      <c r="Y51" s="1"/>
      <c r="Z51" s="5">
        <f t="shared" ref="Z51:Z71" si="39">IF(T51=0,0,X51/T51)</f>
        <v>-1</v>
      </c>
    </row>
    <row r="52" spans="1:26" s="24" customFormat="1" hidden="1" outlineLevel="2" x14ac:dyDescent="0.25">
      <c r="A52" s="27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32"/>
        <v>0</v>
      </c>
      <c r="G52" s="2"/>
      <c r="H52" s="7">
        <v>1000</v>
      </c>
      <c r="I52" s="2"/>
      <c r="J52" s="6">
        <f t="shared" si="33"/>
        <v>0</v>
      </c>
      <c r="K52" s="2"/>
      <c r="L52" s="7">
        <f t="shared" si="34"/>
        <v>-1000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8000</v>
      </c>
      <c r="U52" s="2"/>
      <c r="V52" s="6">
        <f t="shared" si="37"/>
        <v>0</v>
      </c>
      <c r="W52" s="2"/>
      <c r="X52" s="7">
        <f t="shared" si="38"/>
        <v>-8000</v>
      </c>
      <c r="Y52" s="2"/>
      <c r="Z52" s="6">
        <f t="shared" si="39"/>
        <v>-1</v>
      </c>
    </row>
    <row r="53" spans="1:26" s="28" customFormat="1" outlineLevel="1" collapsed="1" x14ac:dyDescent="0.25">
      <c r="A53" s="29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150</v>
      </c>
      <c r="I53" s="1"/>
      <c r="J53" s="5">
        <f t="shared" si="33"/>
        <v>0</v>
      </c>
      <c r="K53" s="1"/>
      <c r="L53" s="1">
        <f t="shared" si="34"/>
        <v>-150</v>
      </c>
      <c r="M53" s="1"/>
      <c r="N53" s="5">
        <f t="shared" si="35"/>
        <v>-1</v>
      </c>
      <c r="O53" s="14"/>
      <c r="P53" s="1">
        <f>SUM(OSRRefP22_7x_0)</f>
        <v>78.33</v>
      </c>
      <c r="Q53" s="1"/>
      <c r="R53" s="5">
        <f t="shared" si="36"/>
        <v>0</v>
      </c>
      <c r="S53" s="1"/>
      <c r="T53" s="1">
        <f>SUM(OSRRefT22_7x_0)</f>
        <v>1100</v>
      </c>
      <c r="U53" s="1"/>
      <c r="V53" s="5">
        <f t="shared" si="37"/>
        <v>0</v>
      </c>
      <c r="W53" s="1"/>
      <c r="X53" s="1">
        <f t="shared" si="38"/>
        <v>-1021.67</v>
      </c>
      <c r="Y53" s="1"/>
      <c r="Z53" s="5">
        <f t="shared" si="39"/>
        <v>-0.928790909090909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2"/>
        <v>0</v>
      </c>
      <c r="G54" s="2"/>
      <c r="H54" s="7">
        <v>150</v>
      </c>
      <c r="I54" s="2"/>
      <c r="J54" s="6">
        <f t="shared" si="33"/>
        <v>0</v>
      </c>
      <c r="K54" s="2"/>
      <c r="L54" s="7">
        <f t="shared" si="34"/>
        <v>-150</v>
      </c>
      <c r="M54" s="2"/>
      <c r="N54" s="6">
        <f t="shared" si="35"/>
        <v>-1</v>
      </c>
      <c r="O54" s="11"/>
      <c r="P54" s="7">
        <v>78.33</v>
      </c>
      <c r="Q54" s="2"/>
      <c r="R54" s="6">
        <f t="shared" si="36"/>
        <v>0</v>
      </c>
      <c r="S54" s="2"/>
      <c r="T54" s="7">
        <v>1100</v>
      </c>
      <c r="U54" s="2"/>
      <c r="V54" s="6">
        <f t="shared" si="37"/>
        <v>0</v>
      </c>
      <c r="W54" s="2"/>
      <c r="X54" s="7">
        <f t="shared" si="38"/>
        <v>-1021.67</v>
      </c>
      <c r="Y54" s="2"/>
      <c r="Z54" s="6">
        <f t="shared" si="39"/>
        <v>-0.928790909090909</v>
      </c>
    </row>
    <row r="55" spans="1:26" s="28" customFormat="1" outlineLevel="1" collapsed="1" x14ac:dyDescent="0.25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487.31</v>
      </c>
      <c r="E55" s="1"/>
      <c r="F55" s="5">
        <f t="shared" si="32"/>
        <v>0</v>
      </c>
      <c r="G55" s="1"/>
      <c r="H55" s="1">
        <f>SUM(OSRRefH22_8x_0)</f>
        <v>1700</v>
      </c>
      <c r="I55" s="1"/>
      <c r="J55" s="5">
        <f t="shared" si="33"/>
        <v>0</v>
      </c>
      <c r="K55" s="1"/>
      <c r="L55" s="1">
        <f t="shared" si="34"/>
        <v>-1212.69</v>
      </c>
      <c r="M55" s="1"/>
      <c r="N55" s="5">
        <f t="shared" si="35"/>
        <v>-0.71334705882352945</v>
      </c>
      <c r="O55" s="14"/>
      <c r="P55" s="1">
        <f>SUM(OSRRefP22_8x_0)</f>
        <v>1773.91</v>
      </c>
      <c r="Q55" s="1"/>
      <c r="R55" s="5">
        <f t="shared" si="36"/>
        <v>0</v>
      </c>
      <c r="S55" s="1"/>
      <c r="T55" s="1">
        <f>SUM(OSRRefT22_8x_0)</f>
        <v>13600</v>
      </c>
      <c r="U55" s="1"/>
      <c r="V55" s="5">
        <f t="shared" si="37"/>
        <v>0</v>
      </c>
      <c r="W55" s="1"/>
      <c r="X55" s="1">
        <f t="shared" si="38"/>
        <v>-11826.09</v>
      </c>
      <c r="Y55" s="1"/>
      <c r="Z55" s="5">
        <f t="shared" si="39"/>
        <v>-0.86956544117647061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7">
        <v>487.31</v>
      </c>
      <c r="E56" s="2"/>
      <c r="F56" s="6">
        <f t="shared" si="32"/>
        <v>0</v>
      </c>
      <c r="G56" s="2"/>
      <c r="H56" s="7">
        <v>1700</v>
      </c>
      <c r="I56" s="2"/>
      <c r="J56" s="6">
        <f t="shared" si="33"/>
        <v>0</v>
      </c>
      <c r="K56" s="2"/>
      <c r="L56" s="7">
        <f t="shared" si="34"/>
        <v>-1212.69</v>
      </c>
      <c r="M56" s="2"/>
      <c r="N56" s="6">
        <f t="shared" si="35"/>
        <v>-0.71334705882352945</v>
      </c>
      <c r="O56" s="11"/>
      <c r="P56" s="7">
        <v>1773.91</v>
      </c>
      <c r="Q56" s="2"/>
      <c r="R56" s="6">
        <f t="shared" si="36"/>
        <v>0</v>
      </c>
      <c r="S56" s="2"/>
      <c r="T56" s="7">
        <v>13600</v>
      </c>
      <c r="U56" s="2"/>
      <c r="V56" s="6">
        <f t="shared" si="37"/>
        <v>0</v>
      </c>
      <c r="W56" s="2"/>
      <c r="X56" s="7">
        <f t="shared" si="38"/>
        <v>-11826.09</v>
      </c>
      <c r="Y56" s="2"/>
      <c r="Z56" s="6">
        <f t="shared" si="39"/>
        <v>-0.86956544117647061</v>
      </c>
    </row>
    <row r="57" spans="1:26" s="28" customFormat="1" outlineLevel="1" collapsed="1" x14ac:dyDescent="0.25">
      <c r="A57" s="29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15.95</v>
      </c>
      <c r="E57" s="1"/>
      <c r="F57" s="5">
        <f t="shared" si="32"/>
        <v>0</v>
      </c>
      <c r="G57" s="1"/>
      <c r="H57" s="1">
        <f>SUM(OSRRefH22_9x_0)</f>
        <v>10</v>
      </c>
      <c r="I57" s="1"/>
      <c r="J57" s="5">
        <f t="shared" si="33"/>
        <v>0</v>
      </c>
      <c r="K57" s="1"/>
      <c r="L57" s="1">
        <f t="shared" si="34"/>
        <v>5.9499999999999993</v>
      </c>
      <c r="M57" s="1"/>
      <c r="N57" s="5">
        <f t="shared" si="35"/>
        <v>0.59499999999999997</v>
      </c>
      <c r="O57" s="14"/>
      <c r="P57" s="1">
        <f>SUM(OSRRefP22_9x_0)</f>
        <v>2017.65</v>
      </c>
      <c r="Q57" s="1"/>
      <c r="R57" s="5">
        <f t="shared" si="36"/>
        <v>0</v>
      </c>
      <c r="S57" s="1"/>
      <c r="T57" s="1">
        <f>SUM(OSRRefT22_9x_0)</f>
        <v>80</v>
      </c>
      <c r="U57" s="1"/>
      <c r="V57" s="5">
        <f t="shared" si="37"/>
        <v>0</v>
      </c>
      <c r="W57" s="1"/>
      <c r="X57" s="1">
        <f t="shared" si="38"/>
        <v>1937.65</v>
      </c>
      <c r="Y57" s="1"/>
      <c r="Z57" s="5">
        <f t="shared" si="39"/>
        <v>24.220625000000002</v>
      </c>
    </row>
    <row r="58" spans="1:26" s="24" customFormat="1" hidden="1" outlineLevel="2" x14ac:dyDescent="0.25">
      <c r="A58" s="27"/>
      <c r="B58" s="11" t="str">
        <f>CONCATENATE("          ", "6307", " - ", "POSTAGE")</f>
        <v xml:space="preserve">          6307 - POSTAGE</v>
      </c>
      <c r="C58" s="11"/>
      <c r="D58" s="7">
        <v>15.95</v>
      </c>
      <c r="E58" s="2"/>
      <c r="F58" s="6">
        <f t="shared" si="32"/>
        <v>0</v>
      </c>
      <c r="G58" s="2"/>
      <c r="H58" s="7">
        <v>10</v>
      </c>
      <c r="I58" s="2"/>
      <c r="J58" s="6">
        <f t="shared" si="33"/>
        <v>0</v>
      </c>
      <c r="K58" s="2"/>
      <c r="L58" s="7">
        <f t="shared" si="34"/>
        <v>5.9499999999999993</v>
      </c>
      <c r="M58" s="2"/>
      <c r="N58" s="6">
        <f t="shared" si="35"/>
        <v>0.59499999999999997</v>
      </c>
      <c r="O58" s="11"/>
      <c r="P58" s="7">
        <v>2017.65</v>
      </c>
      <c r="Q58" s="2"/>
      <c r="R58" s="6">
        <f t="shared" si="36"/>
        <v>0</v>
      </c>
      <c r="S58" s="2"/>
      <c r="T58" s="7">
        <v>80</v>
      </c>
      <c r="U58" s="2"/>
      <c r="V58" s="6">
        <f t="shared" si="37"/>
        <v>0</v>
      </c>
      <c r="W58" s="2"/>
      <c r="X58" s="7">
        <f t="shared" si="38"/>
        <v>1937.65</v>
      </c>
      <c r="Y58" s="2"/>
      <c r="Z58" s="6">
        <f t="shared" si="39"/>
        <v>24.220625000000002</v>
      </c>
    </row>
    <row r="59" spans="1:26" s="28" customFormat="1" outlineLevel="1" collapsed="1" x14ac:dyDescent="0.25">
      <c r="A59" s="29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0</v>
      </c>
      <c r="E59" s="1"/>
      <c r="F59" s="5">
        <f t="shared" si="32"/>
        <v>0</v>
      </c>
      <c r="G59" s="1"/>
      <c r="H59" s="1">
        <f>SUM(OSRRefH22_10x_0)</f>
        <v>500</v>
      </c>
      <c r="I59" s="1"/>
      <c r="J59" s="5">
        <f t="shared" si="33"/>
        <v>0</v>
      </c>
      <c r="K59" s="1"/>
      <c r="L59" s="1">
        <f t="shared" si="34"/>
        <v>-500</v>
      </c>
      <c r="M59" s="1"/>
      <c r="N59" s="5">
        <f t="shared" si="35"/>
        <v>-1</v>
      </c>
      <c r="O59" s="14"/>
      <c r="P59" s="1">
        <f>SUM(OSRRefP22_10x_0)</f>
        <v>1386.81</v>
      </c>
      <c r="Q59" s="1"/>
      <c r="R59" s="5">
        <f t="shared" si="36"/>
        <v>0</v>
      </c>
      <c r="S59" s="1"/>
      <c r="T59" s="1">
        <f>SUM(OSRRefT22_10x_0)</f>
        <v>4000</v>
      </c>
      <c r="U59" s="1"/>
      <c r="V59" s="5">
        <f t="shared" si="37"/>
        <v>0</v>
      </c>
      <c r="W59" s="1"/>
      <c r="X59" s="1">
        <f t="shared" si="38"/>
        <v>-2613.19</v>
      </c>
      <c r="Y59" s="1"/>
      <c r="Z59" s="5">
        <f t="shared" si="39"/>
        <v>-0.65329749999999998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7"/>
      <c r="E60" s="2"/>
      <c r="F60" s="6">
        <f t="shared" si="32"/>
        <v>0</v>
      </c>
      <c r="G60" s="2"/>
      <c r="H60" s="7">
        <v>500</v>
      </c>
      <c r="I60" s="2"/>
      <c r="J60" s="6">
        <f t="shared" si="33"/>
        <v>0</v>
      </c>
      <c r="K60" s="2"/>
      <c r="L60" s="7">
        <f t="shared" si="34"/>
        <v>-500</v>
      </c>
      <c r="M60" s="2"/>
      <c r="N60" s="6">
        <f t="shared" si="35"/>
        <v>-1</v>
      </c>
      <c r="O60" s="11"/>
      <c r="P60" s="7">
        <v>1386.81</v>
      </c>
      <c r="Q60" s="2"/>
      <c r="R60" s="6">
        <f t="shared" si="36"/>
        <v>0</v>
      </c>
      <c r="S60" s="2"/>
      <c r="T60" s="7">
        <v>4000</v>
      </c>
      <c r="U60" s="2"/>
      <c r="V60" s="6">
        <f t="shared" si="37"/>
        <v>0</v>
      </c>
      <c r="W60" s="2"/>
      <c r="X60" s="7">
        <f t="shared" si="38"/>
        <v>-2613.19</v>
      </c>
      <c r="Y60" s="2"/>
      <c r="Z60" s="6">
        <f t="shared" si="39"/>
        <v>-0.65329749999999998</v>
      </c>
    </row>
    <row r="61" spans="1:26" s="28" customFormat="1" outlineLevel="1" collapsed="1" x14ac:dyDescent="0.25">
      <c r="A61" s="29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3883.56</v>
      </c>
      <c r="E61" s="1"/>
      <c r="F61" s="5">
        <f t="shared" si="32"/>
        <v>0</v>
      </c>
      <c r="G61" s="1"/>
      <c r="H61" s="1">
        <f>SUM(OSRRefH22_11x_0)</f>
        <v>4270</v>
      </c>
      <c r="I61" s="1"/>
      <c r="J61" s="5">
        <f t="shared" si="33"/>
        <v>0</v>
      </c>
      <c r="K61" s="1"/>
      <c r="L61" s="1">
        <f t="shared" si="34"/>
        <v>-386.44000000000005</v>
      </c>
      <c r="M61" s="1"/>
      <c r="N61" s="5">
        <f t="shared" si="35"/>
        <v>-9.0501170960187366E-2</v>
      </c>
      <c r="O61" s="14"/>
      <c r="P61" s="1">
        <f>SUM(OSRRefP22_11x_0)</f>
        <v>31068.48</v>
      </c>
      <c r="Q61" s="1"/>
      <c r="R61" s="5">
        <f t="shared" si="36"/>
        <v>0</v>
      </c>
      <c r="S61" s="1"/>
      <c r="T61" s="1">
        <f>SUM(OSRRefT22_11x_0)</f>
        <v>34160</v>
      </c>
      <c r="U61" s="1"/>
      <c r="V61" s="5">
        <f t="shared" si="37"/>
        <v>0</v>
      </c>
      <c r="W61" s="1"/>
      <c r="X61" s="1">
        <f t="shared" si="38"/>
        <v>-3091.5200000000004</v>
      </c>
      <c r="Y61" s="1"/>
      <c r="Z61" s="5">
        <f t="shared" si="39"/>
        <v>-9.0501170960187366E-2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7">
        <v>3883.56</v>
      </c>
      <c r="E62" s="2"/>
      <c r="F62" s="6">
        <f t="shared" si="32"/>
        <v>0</v>
      </c>
      <c r="G62" s="2"/>
      <c r="H62" s="7">
        <v>4270</v>
      </c>
      <c r="I62" s="2"/>
      <c r="J62" s="6">
        <f t="shared" si="33"/>
        <v>0</v>
      </c>
      <c r="K62" s="2"/>
      <c r="L62" s="7">
        <f t="shared" si="34"/>
        <v>-386.44000000000005</v>
      </c>
      <c r="M62" s="2"/>
      <c r="N62" s="6">
        <f t="shared" si="35"/>
        <v>-9.0501170960187366E-2</v>
      </c>
      <c r="O62" s="11"/>
      <c r="P62" s="7">
        <v>31068.48</v>
      </c>
      <c r="Q62" s="2"/>
      <c r="R62" s="6">
        <f t="shared" si="36"/>
        <v>0</v>
      </c>
      <c r="S62" s="2"/>
      <c r="T62" s="7">
        <v>34160</v>
      </c>
      <c r="U62" s="2"/>
      <c r="V62" s="6">
        <f t="shared" si="37"/>
        <v>0</v>
      </c>
      <c r="W62" s="2"/>
      <c r="X62" s="7">
        <f t="shared" si="38"/>
        <v>-3091.5200000000004</v>
      </c>
      <c r="Y62" s="2"/>
      <c r="Z62" s="6">
        <f t="shared" si="39"/>
        <v>-9.0501170960187366E-2</v>
      </c>
    </row>
    <row r="63" spans="1:26" s="28" customFormat="1" outlineLevel="1" collapsed="1" x14ac:dyDescent="0.25">
      <c r="A63" s="29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SUM(OSRRefD22_12x_0)</f>
        <v>0</v>
      </c>
      <c r="E63" s="1"/>
      <c r="F63" s="5">
        <f t="shared" si="32"/>
        <v>0</v>
      </c>
      <c r="G63" s="1"/>
      <c r="H63" s="1">
        <f>SUM(OSRRefH22_12x_0)</f>
        <v>1000</v>
      </c>
      <c r="I63" s="1"/>
      <c r="J63" s="5">
        <f t="shared" si="33"/>
        <v>0</v>
      </c>
      <c r="K63" s="1"/>
      <c r="L63" s="1">
        <f t="shared" si="34"/>
        <v>-1000</v>
      </c>
      <c r="M63" s="1"/>
      <c r="N63" s="5">
        <f t="shared" si="35"/>
        <v>-1</v>
      </c>
      <c r="O63" s="14"/>
      <c r="P63" s="1">
        <f>SUM(OSRRefP22_12x_0)</f>
        <v>0</v>
      </c>
      <c r="Q63" s="1"/>
      <c r="R63" s="5">
        <f t="shared" si="36"/>
        <v>0</v>
      </c>
      <c r="S63" s="1"/>
      <c r="T63" s="1">
        <f>SUM(OSRRefT22_12x_0)</f>
        <v>8000</v>
      </c>
      <c r="U63" s="1"/>
      <c r="V63" s="5">
        <f t="shared" si="37"/>
        <v>0</v>
      </c>
      <c r="W63" s="1"/>
      <c r="X63" s="1">
        <f t="shared" si="38"/>
        <v>-8000</v>
      </c>
      <c r="Y63" s="1"/>
      <c r="Z63" s="5">
        <f t="shared" si="39"/>
        <v>-1</v>
      </c>
    </row>
    <row r="64" spans="1:26" s="24" customFormat="1" hidden="1" outlineLevel="2" x14ac:dyDescent="0.25">
      <c r="A64" s="27"/>
      <c r="B64" s="11" t="str">
        <f>CONCATENATE("          ", "6408", " - ", "INVENTORY ADJUSTMENT")</f>
        <v xml:space="preserve">          6408 - INVENTORY ADJUSTMENT</v>
      </c>
      <c r="C64" s="11"/>
      <c r="D64" s="7"/>
      <c r="E64" s="2"/>
      <c r="F64" s="6">
        <f t="shared" si="32"/>
        <v>0</v>
      </c>
      <c r="G64" s="2"/>
      <c r="H64" s="7">
        <v>1000</v>
      </c>
      <c r="I64" s="2"/>
      <c r="J64" s="6">
        <f t="shared" si="33"/>
        <v>0</v>
      </c>
      <c r="K64" s="2"/>
      <c r="L64" s="7">
        <f t="shared" si="34"/>
        <v>-1000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8000</v>
      </c>
      <c r="U64" s="2"/>
      <c r="V64" s="6">
        <f t="shared" si="37"/>
        <v>0</v>
      </c>
      <c r="W64" s="2"/>
      <c r="X64" s="7">
        <f t="shared" si="38"/>
        <v>-8000</v>
      </c>
      <c r="Y64" s="2"/>
      <c r="Z64" s="6">
        <f t="shared" si="39"/>
        <v>-1</v>
      </c>
    </row>
    <row r="65" spans="1:26" s="28" customFormat="1" outlineLevel="1" collapsed="1" x14ac:dyDescent="0.25">
      <c r="A65" s="29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SUM(OSRRefD22_13x_0)</f>
        <v>-800</v>
      </c>
      <c r="E65" s="1"/>
      <c r="F65" s="5">
        <f t="shared" si="32"/>
        <v>0</v>
      </c>
      <c r="G65" s="1"/>
      <c r="H65" s="1">
        <f>SUM(OSRRefH22_13x_0)</f>
        <v>-800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4"/>
      <c r="P65" s="1">
        <f>SUM(OSRRefP22_13x_0)</f>
        <v>-6400</v>
      </c>
      <c r="Q65" s="1"/>
      <c r="R65" s="5">
        <f t="shared" si="36"/>
        <v>0</v>
      </c>
      <c r="S65" s="1"/>
      <c r="T65" s="1">
        <f>SUM(OSRRefT22_13x_0)</f>
        <v>-6400</v>
      </c>
      <c r="U65" s="1"/>
      <c r="V65" s="5">
        <f t="shared" si="37"/>
        <v>0</v>
      </c>
      <c r="W65" s="1"/>
      <c r="X65" s="1">
        <f t="shared" si="38"/>
        <v>0</v>
      </c>
      <c r="Y65" s="1"/>
      <c r="Z65" s="5">
        <f t="shared" si="39"/>
        <v>0</v>
      </c>
    </row>
    <row r="66" spans="1:26" s="24" customFormat="1" hidden="1" outlineLevel="2" x14ac:dyDescent="0.25">
      <c r="A66" s="27"/>
      <c r="B66" s="11" t="str">
        <f>CONCATENATE("          ", "6273", " - ", "RENT")</f>
        <v xml:space="preserve">          6273 - RENT</v>
      </c>
      <c r="C66" s="11"/>
      <c r="D66" s="7">
        <v>-800</v>
      </c>
      <c r="E66" s="2"/>
      <c r="F66" s="6">
        <f t="shared" si="32"/>
        <v>0</v>
      </c>
      <c r="G66" s="2"/>
      <c r="H66" s="7">
        <v>-800</v>
      </c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-6400</v>
      </c>
      <c r="Q66" s="2"/>
      <c r="R66" s="6">
        <f t="shared" si="36"/>
        <v>0</v>
      </c>
      <c r="S66" s="2"/>
      <c r="T66" s="7">
        <v>-6400</v>
      </c>
      <c r="U66" s="2"/>
      <c r="V66" s="6">
        <f t="shared" si="37"/>
        <v>0</v>
      </c>
      <c r="W66" s="2"/>
      <c r="X66" s="7">
        <f t="shared" si="38"/>
        <v>0</v>
      </c>
      <c r="Y66" s="2"/>
      <c r="Z66" s="6">
        <f t="shared" si="39"/>
        <v>0</v>
      </c>
    </row>
    <row r="67" spans="1:26" s="28" customFormat="1" outlineLevel="1" collapsed="1" x14ac:dyDescent="0.25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SUM(OSRRefD22_14x_0)</f>
        <v>15641.16</v>
      </c>
      <c r="E67" s="1"/>
      <c r="F67" s="5">
        <f t="shared" si="32"/>
        <v>0</v>
      </c>
      <c r="G67" s="1"/>
      <c r="H67" s="1">
        <f>SUM(OSRRefH22_14x_0)</f>
        <v>9000</v>
      </c>
      <c r="I67" s="1"/>
      <c r="J67" s="5">
        <f t="shared" si="33"/>
        <v>0</v>
      </c>
      <c r="K67" s="1"/>
      <c r="L67" s="1">
        <f t="shared" si="34"/>
        <v>6641.16</v>
      </c>
      <c r="M67" s="1"/>
      <c r="N67" s="5">
        <f t="shared" si="35"/>
        <v>0.7379066666666666</v>
      </c>
      <c r="O67" s="14"/>
      <c r="P67" s="1">
        <f>SUM(OSRRefP22_14x_0)</f>
        <v>97571.25</v>
      </c>
      <c r="Q67" s="1"/>
      <c r="R67" s="5">
        <f t="shared" si="36"/>
        <v>0</v>
      </c>
      <c r="S67" s="1"/>
      <c r="T67" s="1">
        <f>SUM(OSRRefT22_14x_0)</f>
        <v>117000</v>
      </c>
      <c r="U67" s="1"/>
      <c r="V67" s="5">
        <f t="shared" si="37"/>
        <v>0</v>
      </c>
      <c r="W67" s="1"/>
      <c r="X67" s="1">
        <f t="shared" si="38"/>
        <v>-19428.75</v>
      </c>
      <c r="Y67" s="1"/>
      <c r="Z67" s="5">
        <f t="shared" si="39"/>
        <v>-0.1660576923076923</v>
      </c>
    </row>
    <row r="68" spans="1:26" s="24" customFormat="1" hidden="1" outlineLevel="2" x14ac:dyDescent="0.2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7">
        <v>1331.25</v>
      </c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1331.25</v>
      </c>
      <c r="M68" s="2"/>
      <c r="N68" s="6">
        <f t="shared" si="35"/>
        <v>0</v>
      </c>
      <c r="O68" s="11"/>
      <c r="P68" s="7">
        <v>59760.029999999992</v>
      </c>
      <c r="Q68" s="2"/>
      <c r="R68" s="6">
        <f t="shared" si="36"/>
        <v>0</v>
      </c>
      <c r="S68" s="2"/>
      <c r="T68" s="7">
        <v>45000</v>
      </c>
      <c r="U68" s="2"/>
      <c r="V68" s="6">
        <f t="shared" si="37"/>
        <v>0</v>
      </c>
      <c r="W68" s="2"/>
      <c r="X68" s="7">
        <f t="shared" si="38"/>
        <v>14760.029999999992</v>
      </c>
      <c r="Y68" s="2"/>
      <c r="Z68" s="6">
        <f t="shared" si="39"/>
        <v>0.3280006666666665</v>
      </c>
    </row>
    <row r="69" spans="1:26" s="24" customFormat="1" hidden="1" outlineLevel="2" x14ac:dyDescent="0.25">
      <c r="A69" s="27"/>
      <c r="B69" s="11" t="str">
        <f>CONCATENATE("          ", "6372", " - ", "COMPUTER HARDWARE MAINTENANCE")</f>
        <v xml:space="preserve">          6372 - COMPUTER HARDWARE MAINTENANCE</v>
      </c>
      <c r="C69" s="11"/>
      <c r="D69" s="7">
        <v>-0.63</v>
      </c>
      <c r="E69" s="2"/>
      <c r="F69" s="6">
        <f t="shared" si="32"/>
        <v>0</v>
      </c>
      <c r="G69" s="2"/>
      <c r="H69" s="7"/>
      <c r="I69" s="2"/>
      <c r="J69" s="6">
        <f t="shared" si="33"/>
        <v>0</v>
      </c>
      <c r="K69" s="2"/>
      <c r="L69" s="7">
        <f t="shared" si="34"/>
        <v>-0.63</v>
      </c>
      <c r="M69" s="2"/>
      <c r="N69" s="6">
        <f t="shared" si="35"/>
        <v>0</v>
      </c>
      <c r="O69" s="11"/>
      <c r="P69" s="7">
        <v>-0.63</v>
      </c>
      <c r="Q69" s="2"/>
      <c r="R69" s="6">
        <f t="shared" si="36"/>
        <v>0</v>
      </c>
      <c r="S69" s="2"/>
      <c r="T69" s="7"/>
      <c r="U69" s="2"/>
      <c r="V69" s="6">
        <f t="shared" si="37"/>
        <v>0</v>
      </c>
      <c r="W69" s="2"/>
      <c r="X69" s="7">
        <f t="shared" si="38"/>
        <v>-0.63</v>
      </c>
      <c r="Y69" s="2"/>
      <c r="Z69" s="6">
        <f t="shared" si="39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2884.06</v>
      </c>
      <c r="E70" s="2"/>
      <c r="F70" s="6">
        <f t="shared" si="32"/>
        <v>0</v>
      </c>
      <c r="G70" s="2"/>
      <c r="H70" s="7">
        <v>1000</v>
      </c>
      <c r="I70" s="2"/>
      <c r="J70" s="6">
        <f t="shared" si="33"/>
        <v>0</v>
      </c>
      <c r="K70" s="2"/>
      <c r="L70" s="7">
        <f t="shared" si="34"/>
        <v>1884.06</v>
      </c>
      <c r="M70" s="2"/>
      <c r="N70" s="6">
        <f t="shared" si="35"/>
        <v>1.8840599999999998</v>
      </c>
      <c r="O70" s="11"/>
      <c r="P70" s="7">
        <v>12073.81</v>
      </c>
      <c r="Q70" s="2"/>
      <c r="R70" s="6">
        <f t="shared" si="36"/>
        <v>0</v>
      </c>
      <c r="S70" s="2"/>
      <c r="T70" s="7">
        <v>8000</v>
      </c>
      <c r="U70" s="2"/>
      <c r="V70" s="6">
        <f t="shared" si="37"/>
        <v>0</v>
      </c>
      <c r="W70" s="2"/>
      <c r="X70" s="7">
        <f t="shared" si="38"/>
        <v>4073.8099999999995</v>
      </c>
      <c r="Y70" s="2"/>
      <c r="Z70" s="6">
        <f t="shared" si="39"/>
        <v>0.50922624999999999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11426.48</v>
      </c>
      <c r="E71" s="2"/>
      <c r="F71" s="6">
        <f t="shared" si="32"/>
        <v>0</v>
      </c>
      <c r="G71" s="2"/>
      <c r="H71" s="7">
        <v>8000</v>
      </c>
      <c r="I71" s="2"/>
      <c r="J71" s="6">
        <f t="shared" si="33"/>
        <v>0</v>
      </c>
      <c r="K71" s="2"/>
      <c r="L71" s="7">
        <f t="shared" si="34"/>
        <v>3426.4799999999996</v>
      </c>
      <c r="M71" s="2"/>
      <c r="N71" s="6">
        <f t="shared" si="35"/>
        <v>0.42830999999999997</v>
      </c>
      <c r="O71" s="11"/>
      <c r="P71" s="7">
        <v>25738.04</v>
      </c>
      <c r="Q71" s="2"/>
      <c r="R71" s="6">
        <f t="shared" si="36"/>
        <v>0</v>
      </c>
      <c r="S71" s="2"/>
      <c r="T71" s="7">
        <v>64000</v>
      </c>
      <c r="U71" s="2"/>
      <c r="V71" s="6">
        <f t="shared" si="37"/>
        <v>0</v>
      </c>
      <c r="W71" s="2"/>
      <c r="X71" s="7">
        <f t="shared" si="38"/>
        <v>-38261.96</v>
      </c>
      <c r="Y71" s="2"/>
      <c r="Z71" s="6">
        <f t="shared" si="39"/>
        <v>-0.59784312500000003</v>
      </c>
    </row>
    <row r="72" spans="1:26" s="28" customFormat="1" outlineLevel="1" collapsed="1" x14ac:dyDescent="0.25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SUM(OSRRefD22_15x_0)</f>
        <v>3850.73</v>
      </c>
      <c r="E72" s="1"/>
      <c r="F72" s="5">
        <f t="shared" ref="F72:F75" si="40">IF(D$12=0,0,D72/D$12)</f>
        <v>0</v>
      </c>
      <c r="G72" s="1"/>
      <c r="H72" s="1">
        <f>SUM(OSRRefH22_15x_0)</f>
        <v>4300</v>
      </c>
      <c r="I72" s="1"/>
      <c r="J72" s="5">
        <f t="shared" ref="J72:J75" si="41">IF(H$12=0,0,H72/H$12)</f>
        <v>0</v>
      </c>
      <c r="K72" s="1"/>
      <c r="L72" s="1">
        <f t="shared" ref="L72:L75" si="42">+D72-H72</f>
        <v>-449.27</v>
      </c>
      <c r="M72" s="1"/>
      <c r="N72" s="5">
        <f t="shared" ref="N72:N75" si="43">IF(H72=0,0,L72/H72)</f>
        <v>-0.1044813953488372</v>
      </c>
      <c r="O72" s="14"/>
      <c r="P72" s="1">
        <f>SUM(OSRRefP22_15x_0)</f>
        <v>28286.889999999996</v>
      </c>
      <c r="Q72" s="1"/>
      <c r="R72" s="5">
        <f t="shared" ref="R72:R75" si="44">IF(P$12=0,0,P72/P$12)</f>
        <v>0</v>
      </c>
      <c r="S72" s="1"/>
      <c r="T72" s="1">
        <f>SUM(OSRRefT22_15x_0)</f>
        <v>34400</v>
      </c>
      <c r="U72" s="1"/>
      <c r="V72" s="5">
        <f t="shared" ref="V72:V75" si="45">IF(T$12=0,0,T72/T$12)</f>
        <v>0</v>
      </c>
      <c r="W72" s="1"/>
      <c r="X72" s="1">
        <f t="shared" ref="X72:X75" si="46">+P72-T72</f>
        <v>-6113.1100000000042</v>
      </c>
      <c r="Y72" s="1"/>
      <c r="Z72" s="5">
        <f t="shared" ref="Z72:Z75" si="47">IF(T72=0,0,X72/T72)</f>
        <v>-0.17770668604651174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7"/>
      <c r="E73" s="2"/>
      <c r="F73" s="6">
        <f t="shared" si="40"/>
        <v>0</v>
      </c>
      <c r="G73" s="2"/>
      <c r="H73" s="7">
        <v>4000</v>
      </c>
      <c r="I73" s="2"/>
      <c r="J73" s="6">
        <f t="shared" si="41"/>
        <v>0</v>
      </c>
      <c r="K73" s="2"/>
      <c r="L73" s="7">
        <f t="shared" si="42"/>
        <v>-4000</v>
      </c>
      <c r="M73" s="2"/>
      <c r="N73" s="6">
        <f t="shared" si="43"/>
        <v>-1</v>
      </c>
      <c r="O73" s="11"/>
      <c r="P73" s="7">
        <v>6777.12</v>
      </c>
      <c r="Q73" s="2"/>
      <c r="R73" s="6">
        <f t="shared" si="44"/>
        <v>0</v>
      </c>
      <c r="S73" s="2"/>
      <c r="T73" s="7">
        <v>32000</v>
      </c>
      <c r="U73" s="2"/>
      <c r="V73" s="6">
        <f t="shared" si="45"/>
        <v>0</v>
      </c>
      <c r="W73" s="2"/>
      <c r="X73" s="7">
        <f t="shared" si="46"/>
        <v>-25222.880000000001</v>
      </c>
      <c r="Y73" s="2"/>
      <c r="Z73" s="6">
        <f t="shared" si="47"/>
        <v>-0.788215</v>
      </c>
    </row>
    <row r="74" spans="1:26" s="24" customFormat="1" hidden="1" outlineLevel="2" x14ac:dyDescent="0.25">
      <c r="A74" s="27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0</v>
      </c>
      <c r="M74" s="2"/>
      <c r="N74" s="6">
        <f t="shared" si="43"/>
        <v>0</v>
      </c>
      <c r="O74" s="11"/>
      <c r="P74" s="7">
        <v>130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130</v>
      </c>
      <c r="Y74" s="2"/>
      <c r="Z74" s="6">
        <f t="shared" si="47"/>
        <v>0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7">
        <v>3850.73</v>
      </c>
      <c r="E75" s="2"/>
      <c r="F75" s="6">
        <f t="shared" si="40"/>
        <v>0</v>
      </c>
      <c r="G75" s="2"/>
      <c r="H75" s="7">
        <v>300</v>
      </c>
      <c r="I75" s="2"/>
      <c r="J75" s="6">
        <f t="shared" si="41"/>
        <v>0</v>
      </c>
      <c r="K75" s="2"/>
      <c r="L75" s="7">
        <f t="shared" si="42"/>
        <v>3550.73</v>
      </c>
      <c r="M75" s="2"/>
      <c r="N75" s="6">
        <f t="shared" si="43"/>
        <v>11.835766666666666</v>
      </c>
      <c r="O75" s="11"/>
      <c r="P75" s="7">
        <v>21379.769999999997</v>
      </c>
      <c r="Q75" s="2"/>
      <c r="R75" s="6">
        <f t="shared" si="44"/>
        <v>0</v>
      </c>
      <c r="S75" s="2"/>
      <c r="T75" s="7">
        <v>2400</v>
      </c>
      <c r="U75" s="2"/>
      <c r="V75" s="6">
        <f t="shared" si="45"/>
        <v>0</v>
      </c>
      <c r="W75" s="2"/>
      <c r="X75" s="7">
        <f t="shared" si="46"/>
        <v>18979.769999999997</v>
      </c>
      <c r="Y75" s="2"/>
      <c r="Z75" s="6">
        <f t="shared" si="47"/>
        <v>7.9082374999999985</v>
      </c>
    </row>
    <row r="76" spans="1:26" s="28" customFormat="1" outlineLevel="1" collapsed="1" x14ac:dyDescent="0.25">
      <c r="A76" s="29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SUM(OSRRefD22_16x_0)</f>
        <v>0</v>
      </c>
      <c r="E76" s="1"/>
      <c r="F76" s="5">
        <f t="shared" ref="F76:F85" si="48">IF(D$12=0,0,D76/D$12)</f>
        <v>0</v>
      </c>
      <c r="G76" s="1"/>
      <c r="H76" s="1">
        <f>SUM(OSRRefH22_16x_0)</f>
        <v>800</v>
      </c>
      <c r="I76" s="1"/>
      <c r="J76" s="5">
        <f t="shared" ref="J76:J85" si="49">IF(H$12=0,0,H76/H$12)</f>
        <v>0</v>
      </c>
      <c r="K76" s="1"/>
      <c r="L76" s="1">
        <f t="shared" ref="L76:L85" si="50">+D76-H76</f>
        <v>-800</v>
      </c>
      <c r="M76" s="1"/>
      <c r="N76" s="5">
        <f t="shared" ref="N76:N85" si="51">IF(H76=0,0,L76/H76)</f>
        <v>-1</v>
      </c>
      <c r="O76" s="14"/>
      <c r="P76" s="1">
        <f>SUM(OSRRefP22_16x_0)</f>
        <v>0</v>
      </c>
      <c r="Q76" s="1"/>
      <c r="R76" s="5">
        <f t="shared" ref="R76:R85" si="52">IF(P$12=0,0,P76/P$12)</f>
        <v>0</v>
      </c>
      <c r="S76" s="1"/>
      <c r="T76" s="1">
        <f>SUM(OSRRefT22_16x_0)</f>
        <v>6400</v>
      </c>
      <c r="U76" s="1"/>
      <c r="V76" s="5">
        <f t="shared" ref="V76:V85" si="53">IF(T$12=0,0,T76/T$12)</f>
        <v>0</v>
      </c>
      <c r="W76" s="1"/>
      <c r="X76" s="1">
        <f t="shared" ref="X76:X85" si="54">+P76-T76</f>
        <v>-6400</v>
      </c>
      <c r="Y76" s="1"/>
      <c r="Z76" s="5">
        <f t="shared" ref="Z76:Z85" si="55">IF(T76=0,0,X76/T76)</f>
        <v>-1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800</v>
      </c>
      <c r="I77" s="2"/>
      <c r="J77" s="6">
        <f t="shared" si="49"/>
        <v>0</v>
      </c>
      <c r="K77" s="2"/>
      <c r="L77" s="7">
        <f t="shared" si="50"/>
        <v>-800</v>
      </c>
      <c r="M77" s="2"/>
      <c r="N77" s="6">
        <f t="shared" si="51"/>
        <v>-1</v>
      </c>
      <c r="O77" s="11"/>
      <c r="P77" s="7"/>
      <c r="Q77" s="2"/>
      <c r="R77" s="6">
        <f t="shared" si="52"/>
        <v>0</v>
      </c>
      <c r="S77" s="2"/>
      <c r="T77" s="7">
        <v>6400</v>
      </c>
      <c r="U77" s="2"/>
      <c r="V77" s="6">
        <f t="shared" si="53"/>
        <v>0</v>
      </c>
      <c r="W77" s="2"/>
      <c r="X77" s="7">
        <f t="shared" si="54"/>
        <v>-6400</v>
      </c>
      <c r="Y77" s="2"/>
      <c r="Z77" s="6">
        <f t="shared" si="55"/>
        <v>-1</v>
      </c>
    </row>
    <row r="78" spans="1:26" s="28" customFormat="1" outlineLevel="1" collapsed="1" x14ac:dyDescent="0.25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SUM(OSRRefD22_17x_0)</f>
        <v>9405.6299999999992</v>
      </c>
      <c r="E78" s="1"/>
      <c r="F78" s="5">
        <f t="shared" si="48"/>
        <v>0</v>
      </c>
      <c r="G78" s="1"/>
      <c r="H78" s="1">
        <f>SUM(OSRRefH22_17x_0)</f>
        <v>3900</v>
      </c>
      <c r="I78" s="1"/>
      <c r="J78" s="5">
        <f t="shared" si="49"/>
        <v>0</v>
      </c>
      <c r="K78" s="1"/>
      <c r="L78" s="1">
        <f t="shared" si="50"/>
        <v>5505.6299999999992</v>
      </c>
      <c r="M78" s="1"/>
      <c r="N78" s="5">
        <f t="shared" si="51"/>
        <v>1.4116999999999997</v>
      </c>
      <c r="O78" s="14"/>
      <c r="P78" s="1">
        <f>SUM(OSRRefP22_17x_0)</f>
        <v>58327.920000000013</v>
      </c>
      <c r="Q78" s="1"/>
      <c r="R78" s="5">
        <f t="shared" si="52"/>
        <v>0</v>
      </c>
      <c r="S78" s="1"/>
      <c r="T78" s="1">
        <f>SUM(OSRRefT22_17x_0)</f>
        <v>91000</v>
      </c>
      <c r="U78" s="1"/>
      <c r="V78" s="5">
        <f t="shared" si="53"/>
        <v>0</v>
      </c>
      <c r="W78" s="1"/>
      <c r="X78" s="1">
        <f t="shared" si="54"/>
        <v>-32672.079999999987</v>
      </c>
      <c r="Y78" s="1"/>
      <c r="Z78" s="5">
        <f t="shared" si="55"/>
        <v>-0.35903384615384604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100</v>
      </c>
      <c r="I79" s="2"/>
      <c r="J79" s="6">
        <f t="shared" si="49"/>
        <v>0</v>
      </c>
      <c r="K79" s="2"/>
      <c r="L79" s="7">
        <f t="shared" si="50"/>
        <v>-100</v>
      </c>
      <c r="M79" s="2"/>
      <c r="N79" s="6">
        <f t="shared" si="51"/>
        <v>-1</v>
      </c>
      <c r="O79" s="11"/>
      <c r="P79" s="7">
        <v>-449.34</v>
      </c>
      <c r="Q79" s="2"/>
      <c r="R79" s="6">
        <f t="shared" si="52"/>
        <v>0</v>
      </c>
      <c r="S79" s="2"/>
      <c r="T79" s="7">
        <v>800</v>
      </c>
      <c r="U79" s="2"/>
      <c r="V79" s="6">
        <f t="shared" si="53"/>
        <v>0</v>
      </c>
      <c r="W79" s="2"/>
      <c r="X79" s="7">
        <f t="shared" si="54"/>
        <v>-1249.3399999999999</v>
      </c>
      <c r="Y79" s="2"/>
      <c r="Z79" s="6">
        <f t="shared" si="55"/>
        <v>-1.5616749999999999</v>
      </c>
    </row>
    <row r="80" spans="1:26" s="24" customFormat="1" hidden="1" outlineLevel="2" x14ac:dyDescent="0.25">
      <c r="A80" s="27"/>
      <c r="B80" s="11" t="str">
        <f>CONCATENATE("          ", "6235", " - ", "COVID-19 EXPENSES")</f>
        <v xml:space="preserve">          6235 - COVID-19 EXPENSES</v>
      </c>
      <c r="C80" s="11"/>
      <c r="D80" s="7">
        <v>2992.14</v>
      </c>
      <c r="E80" s="2"/>
      <c r="F80" s="6">
        <f t="shared" si="48"/>
        <v>0</v>
      </c>
      <c r="G80" s="2"/>
      <c r="H80" s="7">
        <v>100</v>
      </c>
      <c r="I80" s="2"/>
      <c r="J80" s="6">
        <f t="shared" si="49"/>
        <v>0</v>
      </c>
      <c r="K80" s="2"/>
      <c r="L80" s="7">
        <f t="shared" si="50"/>
        <v>2892.14</v>
      </c>
      <c r="M80" s="2"/>
      <c r="N80" s="6">
        <f t="shared" si="51"/>
        <v>28.921399999999998</v>
      </c>
      <c r="O80" s="11"/>
      <c r="P80" s="7">
        <v>35243.83</v>
      </c>
      <c r="Q80" s="2"/>
      <c r="R80" s="6">
        <f t="shared" si="52"/>
        <v>0</v>
      </c>
      <c r="S80" s="2"/>
      <c r="T80" s="7">
        <v>60600</v>
      </c>
      <c r="U80" s="2"/>
      <c r="V80" s="6">
        <f t="shared" si="53"/>
        <v>0</v>
      </c>
      <c r="W80" s="2"/>
      <c r="X80" s="7">
        <f t="shared" si="54"/>
        <v>-25356.17</v>
      </c>
      <c r="Y80" s="2"/>
      <c r="Z80" s="6">
        <f t="shared" si="55"/>
        <v>-0.41841864686468644</v>
      </c>
    </row>
    <row r="81" spans="1:26" s="24" customFormat="1" hidden="1" outlineLevel="2" x14ac:dyDescent="0.25">
      <c r="A81" s="27"/>
      <c r="B81" s="11" t="str">
        <f>CONCATENATE("          ", "6237", " - ", "JANITORIAL SUPPLIES")</f>
        <v xml:space="preserve">          6237 - JANITORIAL SUPPLIES</v>
      </c>
      <c r="C81" s="11"/>
      <c r="D81" s="7"/>
      <c r="E81" s="2"/>
      <c r="F81" s="6">
        <f t="shared" si="48"/>
        <v>0</v>
      </c>
      <c r="G81" s="2"/>
      <c r="H81" s="7">
        <v>200</v>
      </c>
      <c r="I81" s="2"/>
      <c r="J81" s="6">
        <f t="shared" si="49"/>
        <v>0</v>
      </c>
      <c r="K81" s="2"/>
      <c r="L81" s="7">
        <f t="shared" si="50"/>
        <v>-200</v>
      </c>
      <c r="M81" s="2"/>
      <c r="N81" s="6">
        <f t="shared" si="51"/>
        <v>-1</v>
      </c>
      <c r="O81" s="11"/>
      <c r="P81" s="7">
        <v>2071.91</v>
      </c>
      <c r="Q81" s="2"/>
      <c r="R81" s="6">
        <f t="shared" si="52"/>
        <v>0</v>
      </c>
      <c r="S81" s="2"/>
      <c r="T81" s="7">
        <v>1600</v>
      </c>
      <c r="U81" s="2"/>
      <c r="V81" s="6">
        <f t="shared" si="53"/>
        <v>0</v>
      </c>
      <c r="W81" s="2"/>
      <c r="X81" s="7">
        <f t="shared" si="54"/>
        <v>471.90999999999985</v>
      </c>
      <c r="Y81" s="2"/>
      <c r="Z81" s="6">
        <f t="shared" si="55"/>
        <v>0.29494374999999989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7">
        <v>544.01</v>
      </c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544.01</v>
      </c>
      <c r="M82" s="2"/>
      <c r="N82" s="6">
        <f t="shared" si="51"/>
        <v>0</v>
      </c>
      <c r="O82" s="11"/>
      <c r="P82" s="7">
        <v>2839.98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2839.98</v>
      </c>
      <c r="Y82" s="2"/>
      <c r="Z82" s="6">
        <f t="shared" si="55"/>
        <v>0</v>
      </c>
    </row>
    <row r="83" spans="1:26" s="24" customFormat="1" hidden="1" outlineLevel="2" x14ac:dyDescent="0.25">
      <c r="A83" s="27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68.66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68.66</v>
      </c>
      <c r="Y83" s="2"/>
      <c r="Z83" s="6">
        <f t="shared" si="55"/>
        <v>0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7">
        <v>5869.48</v>
      </c>
      <c r="E84" s="2"/>
      <c r="F84" s="6">
        <f t="shared" si="48"/>
        <v>0</v>
      </c>
      <c r="G84" s="2"/>
      <c r="H84" s="7">
        <v>2000</v>
      </c>
      <c r="I84" s="2"/>
      <c r="J84" s="6">
        <f t="shared" si="49"/>
        <v>0</v>
      </c>
      <c r="K84" s="2"/>
      <c r="L84" s="7">
        <f t="shared" si="50"/>
        <v>3869.4799999999996</v>
      </c>
      <c r="M84" s="2"/>
      <c r="N84" s="6">
        <f t="shared" si="51"/>
        <v>1.9347399999999997</v>
      </c>
      <c r="O84" s="11"/>
      <c r="P84" s="7">
        <v>18552.88</v>
      </c>
      <c r="Q84" s="2"/>
      <c r="R84" s="6">
        <f t="shared" si="52"/>
        <v>0</v>
      </c>
      <c r="S84" s="2"/>
      <c r="T84" s="7">
        <v>16000</v>
      </c>
      <c r="U84" s="2"/>
      <c r="V84" s="6">
        <f t="shared" si="53"/>
        <v>0</v>
      </c>
      <c r="W84" s="2"/>
      <c r="X84" s="7">
        <f t="shared" si="54"/>
        <v>2552.880000000001</v>
      </c>
      <c r="Y84" s="2"/>
      <c r="Z84" s="6">
        <f t="shared" si="55"/>
        <v>0.15955500000000006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48"/>
        <v>0</v>
      </c>
      <c r="G85" s="2"/>
      <c r="H85" s="7">
        <v>1500</v>
      </c>
      <c r="I85" s="2"/>
      <c r="J85" s="6">
        <f t="shared" si="49"/>
        <v>0</v>
      </c>
      <c r="K85" s="2"/>
      <c r="L85" s="7">
        <f t="shared" si="50"/>
        <v>-1500</v>
      </c>
      <c r="M85" s="2"/>
      <c r="N85" s="6">
        <f t="shared" si="51"/>
        <v>-1</v>
      </c>
      <c r="O85" s="11"/>
      <c r="P85" s="7"/>
      <c r="Q85" s="2"/>
      <c r="R85" s="6">
        <f t="shared" si="52"/>
        <v>0</v>
      </c>
      <c r="S85" s="2"/>
      <c r="T85" s="7">
        <v>12000</v>
      </c>
      <c r="U85" s="2"/>
      <c r="V85" s="6">
        <f t="shared" si="53"/>
        <v>0</v>
      </c>
      <c r="W85" s="2"/>
      <c r="X85" s="7">
        <f t="shared" si="54"/>
        <v>-12000</v>
      </c>
      <c r="Y85" s="2"/>
      <c r="Z85" s="6">
        <f t="shared" si="55"/>
        <v>-1</v>
      </c>
    </row>
    <row r="86" spans="1:26" s="28" customFormat="1" outlineLevel="1" collapsed="1" x14ac:dyDescent="0.25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SUM(OSRRefD22_18x_0)</f>
        <v>463.61</v>
      </c>
      <c r="E86" s="1"/>
      <c r="F86" s="5">
        <f t="shared" ref="F86:F92" si="56">IF(D$12=0,0,D86/D$12)</f>
        <v>0</v>
      </c>
      <c r="G86" s="1"/>
      <c r="H86" s="1">
        <f>SUM(OSRRefH22_18x_0)</f>
        <v>600</v>
      </c>
      <c r="I86" s="1"/>
      <c r="J86" s="5">
        <f t="shared" ref="J86:J92" si="57">IF(H$12=0,0,H86/H$12)</f>
        <v>0</v>
      </c>
      <c r="K86" s="1"/>
      <c r="L86" s="1">
        <f t="shared" ref="L86:L92" si="58">+D86-H86</f>
        <v>-136.38999999999999</v>
      </c>
      <c r="M86" s="1"/>
      <c r="N86" s="5">
        <f t="shared" ref="N86:N92" si="59">IF(H86=0,0,L86/H86)</f>
        <v>-0.22731666666666664</v>
      </c>
      <c r="O86" s="14"/>
      <c r="P86" s="1">
        <f>SUM(OSRRefP22_18x_0)</f>
        <v>4669.87</v>
      </c>
      <c r="Q86" s="1"/>
      <c r="R86" s="5">
        <f t="shared" ref="R86:R92" si="60">IF(P$12=0,0,P86/P$12)</f>
        <v>0</v>
      </c>
      <c r="S86" s="1"/>
      <c r="T86" s="1">
        <f>SUM(OSRRefT22_18x_0)</f>
        <v>4800</v>
      </c>
      <c r="U86" s="1"/>
      <c r="V86" s="5">
        <f t="shared" ref="V86:V92" si="61">IF(T$12=0,0,T86/T$12)</f>
        <v>0</v>
      </c>
      <c r="W86" s="1"/>
      <c r="X86" s="1">
        <f t="shared" ref="X86:X92" si="62">+P86-T86</f>
        <v>-130.13000000000011</v>
      </c>
      <c r="Y86" s="1"/>
      <c r="Z86" s="5">
        <f t="shared" ref="Z86:Z92" si="63">IF(T86=0,0,X86/T86)</f>
        <v>-2.7110416666666689E-2</v>
      </c>
    </row>
    <row r="87" spans="1:26" s="24" customFormat="1" hidden="1" outlineLevel="2" x14ac:dyDescent="0.25">
      <c r="A87" s="27"/>
      <c r="B87" s="11" t="str">
        <f>CONCATENATE("          ", "6309", " - ", "TELEPHONE")</f>
        <v xml:space="preserve">          6309 - TELEPHONE</v>
      </c>
      <c r="C87" s="11"/>
      <c r="D87" s="7">
        <v>463.61</v>
      </c>
      <c r="E87" s="2"/>
      <c r="F87" s="6">
        <f t="shared" si="56"/>
        <v>0</v>
      </c>
      <c r="G87" s="2"/>
      <c r="H87" s="7">
        <v>600</v>
      </c>
      <c r="I87" s="2"/>
      <c r="J87" s="6">
        <f t="shared" si="57"/>
        <v>0</v>
      </c>
      <c r="K87" s="2"/>
      <c r="L87" s="7">
        <f t="shared" si="58"/>
        <v>-136.38999999999999</v>
      </c>
      <c r="M87" s="2"/>
      <c r="N87" s="6">
        <f t="shared" si="59"/>
        <v>-0.22731666666666664</v>
      </c>
      <c r="O87" s="11"/>
      <c r="P87" s="7">
        <v>4669.87</v>
      </c>
      <c r="Q87" s="2"/>
      <c r="R87" s="6">
        <f t="shared" si="60"/>
        <v>0</v>
      </c>
      <c r="S87" s="2"/>
      <c r="T87" s="7">
        <v>4800</v>
      </c>
      <c r="U87" s="2"/>
      <c r="V87" s="6">
        <f t="shared" si="61"/>
        <v>0</v>
      </c>
      <c r="W87" s="2"/>
      <c r="X87" s="7">
        <f t="shared" si="62"/>
        <v>-130.13000000000011</v>
      </c>
      <c r="Y87" s="2"/>
      <c r="Z87" s="6">
        <f t="shared" si="63"/>
        <v>-2.7110416666666689E-2</v>
      </c>
    </row>
    <row r="88" spans="1:26" s="28" customFormat="1" outlineLevel="1" collapsed="1" x14ac:dyDescent="0.25">
      <c r="A88" s="29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SUM(OSRRefD22_19x_0)</f>
        <v>750</v>
      </c>
      <c r="E88" s="1"/>
      <c r="F88" s="5">
        <f t="shared" si="56"/>
        <v>0</v>
      </c>
      <c r="G88" s="1"/>
      <c r="H88" s="1">
        <f>SUM(OSRRefH22_19x_0)</f>
        <v>0</v>
      </c>
      <c r="I88" s="1"/>
      <c r="J88" s="5">
        <f t="shared" si="57"/>
        <v>0</v>
      </c>
      <c r="K88" s="1"/>
      <c r="L88" s="1">
        <f t="shared" si="58"/>
        <v>750</v>
      </c>
      <c r="M88" s="1"/>
      <c r="N88" s="5">
        <f t="shared" si="59"/>
        <v>0</v>
      </c>
      <c r="O88" s="14"/>
      <c r="P88" s="1">
        <f>SUM(OSRRefP22_19x_0)</f>
        <v>881.63</v>
      </c>
      <c r="Q88" s="1"/>
      <c r="R88" s="5">
        <f t="shared" si="60"/>
        <v>0</v>
      </c>
      <c r="S88" s="1"/>
      <c r="T88" s="1">
        <f>SUM(OSRRefT22_19x_0)</f>
        <v>3250</v>
      </c>
      <c r="U88" s="1"/>
      <c r="V88" s="5">
        <f t="shared" si="61"/>
        <v>0</v>
      </c>
      <c r="W88" s="1"/>
      <c r="X88" s="1">
        <f t="shared" si="62"/>
        <v>-2368.37</v>
      </c>
      <c r="Y88" s="1"/>
      <c r="Z88" s="5">
        <f t="shared" si="63"/>
        <v>-0.72872923076923068</v>
      </c>
    </row>
    <row r="89" spans="1:26" s="24" customFormat="1" hidden="1" outlineLevel="2" x14ac:dyDescent="0.25">
      <c r="A89" s="27"/>
      <c r="B89" s="11" t="str">
        <f>CONCATENATE("          ", "6376", " - ", "TRAINING")</f>
        <v xml:space="preserve">          6376 - TRAINING</v>
      </c>
      <c r="C89" s="11"/>
      <c r="D89" s="7">
        <v>750</v>
      </c>
      <c r="E89" s="2"/>
      <c r="F89" s="6">
        <f t="shared" si="56"/>
        <v>0</v>
      </c>
      <c r="G89" s="2"/>
      <c r="H89" s="7"/>
      <c r="I89" s="2"/>
      <c r="J89" s="6">
        <f t="shared" si="57"/>
        <v>0</v>
      </c>
      <c r="K89" s="2"/>
      <c r="L89" s="7">
        <f t="shared" si="58"/>
        <v>750</v>
      </c>
      <c r="M89" s="2"/>
      <c r="N89" s="6">
        <f t="shared" si="59"/>
        <v>0</v>
      </c>
      <c r="O89" s="11"/>
      <c r="P89" s="7">
        <v>881.63</v>
      </c>
      <c r="Q89" s="2"/>
      <c r="R89" s="6">
        <f t="shared" si="60"/>
        <v>0</v>
      </c>
      <c r="S89" s="2"/>
      <c r="T89" s="7">
        <v>3250</v>
      </c>
      <c r="U89" s="2"/>
      <c r="V89" s="6">
        <f t="shared" si="61"/>
        <v>0</v>
      </c>
      <c r="W89" s="2"/>
      <c r="X89" s="7">
        <f t="shared" si="62"/>
        <v>-2368.37</v>
      </c>
      <c r="Y89" s="2"/>
      <c r="Z89" s="6">
        <f t="shared" si="63"/>
        <v>-0.72872923076923068</v>
      </c>
    </row>
    <row r="90" spans="1:26" s="28" customFormat="1" outlineLevel="1" collapsed="1" x14ac:dyDescent="0.25">
      <c r="A90" s="29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SUM(OSRRefD22_20x_0)</f>
        <v>0</v>
      </c>
      <c r="E90" s="1"/>
      <c r="F90" s="5">
        <f t="shared" si="56"/>
        <v>0</v>
      </c>
      <c r="G90" s="1"/>
      <c r="H90" s="1">
        <f>SUM(OSRRefH22_20x_0)</f>
        <v>0</v>
      </c>
      <c r="I90" s="1"/>
      <c r="J90" s="5">
        <f t="shared" si="57"/>
        <v>0</v>
      </c>
      <c r="K90" s="1"/>
      <c r="L90" s="1">
        <f t="shared" si="58"/>
        <v>0</v>
      </c>
      <c r="M90" s="1"/>
      <c r="N90" s="5">
        <f t="shared" si="59"/>
        <v>0</v>
      </c>
      <c r="O90" s="14"/>
      <c r="P90" s="1">
        <f>SUM(OSRRefP22_20x_0)</f>
        <v>358.89</v>
      </c>
      <c r="Q90" s="1"/>
      <c r="R90" s="5">
        <f t="shared" si="60"/>
        <v>0</v>
      </c>
      <c r="S90" s="1"/>
      <c r="T90" s="1">
        <f>SUM(OSRRefT22_20x_0)</f>
        <v>0</v>
      </c>
      <c r="U90" s="1"/>
      <c r="V90" s="5">
        <f t="shared" si="61"/>
        <v>0</v>
      </c>
      <c r="W90" s="1"/>
      <c r="X90" s="1">
        <f t="shared" si="62"/>
        <v>358.89</v>
      </c>
      <c r="Y90" s="1"/>
      <c r="Z90" s="5">
        <f t="shared" si="63"/>
        <v>0</v>
      </c>
    </row>
    <row r="91" spans="1:26" s="24" customFormat="1" hidden="1" outlineLevel="2" x14ac:dyDescent="0.25">
      <c r="A91" s="27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56"/>
        <v>0</v>
      </c>
      <c r="G91" s="2"/>
      <c r="H91" s="7"/>
      <c r="I91" s="2"/>
      <c r="J91" s="6">
        <f t="shared" si="57"/>
        <v>0</v>
      </c>
      <c r="K91" s="2"/>
      <c r="L91" s="7">
        <f t="shared" si="58"/>
        <v>0</v>
      </c>
      <c r="M91" s="2"/>
      <c r="N91" s="6">
        <f t="shared" si="59"/>
        <v>0</v>
      </c>
      <c r="O91" s="11"/>
      <c r="P91" s="7">
        <v>299</v>
      </c>
      <c r="Q91" s="2"/>
      <c r="R91" s="6">
        <f t="shared" si="60"/>
        <v>0</v>
      </c>
      <c r="S91" s="2"/>
      <c r="T91" s="7"/>
      <c r="U91" s="2"/>
      <c r="V91" s="6">
        <f t="shared" si="61"/>
        <v>0</v>
      </c>
      <c r="W91" s="2"/>
      <c r="X91" s="7">
        <f t="shared" si="62"/>
        <v>299</v>
      </c>
      <c r="Y91" s="2"/>
      <c r="Z91" s="6">
        <f t="shared" si="63"/>
        <v>0</v>
      </c>
    </row>
    <row r="92" spans="1:26" s="24" customFormat="1" hidden="1" outlineLevel="2" x14ac:dyDescent="0.25">
      <c r="A92" s="27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56"/>
        <v>0</v>
      </c>
      <c r="G92" s="2"/>
      <c r="H92" s="7"/>
      <c r="I92" s="2"/>
      <c r="J92" s="6">
        <f t="shared" si="57"/>
        <v>0</v>
      </c>
      <c r="K92" s="2"/>
      <c r="L92" s="7">
        <f t="shared" si="58"/>
        <v>0</v>
      </c>
      <c r="M92" s="2"/>
      <c r="N92" s="6">
        <f t="shared" si="59"/>
        <v>0</v>
      </c>
      <c r="O92" s="11"/>
      <c r="P92" s="7">
        <v>59.89</v>
      </c>
      <c r="Q92" s="2"/>
      <c r="R92" s="6">
        <f t="shared" si="60"/>
        <v>0</v>
      </c>
      <c r="S92" s="2"/>
      <c r="T92" s="7"/>
      <c r="U92" s="2"/>
      <c r="V92" s="6">
        <f t="shared" si="61"/>
        <v>0</v>
      </c>
      <c r="W92" s="2"/>
      <c r="X92" s="7">
        <f t="shared" si="62"/>
        <v>59.89</v>
      </c>
      <c r="Y92" s="2"/>
      <c r="Z92" s="6">
        <f t="shared" si="63"/>
        <v>0</v>
      </c>
    </row>
    <row r="93" spans="1:26" s="28" customFormat="1" outlineLevel="1" collapsed="1" x14ac:dyDescent="0.25">
      <c r="A93" s="29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SUM(OSRRefD22_21x_0)</f>
        <v>6133</v>
      </c>
      <c r="E93" s="1"/>
      <c r="F93" s="5">
        <f t="shared" ref="F93:F94" si="64">IF(D$12=0,0,D93/D$12)</f>
        <v>0</v>
      </c>
      <c r="G93" s="1"/>
      <c r="H93" s="1">
        <f>SUM(OSRRefH22_21x_0)</f>
        <v>6000</v>
      </c>
      <c r="I93" s="1"/>
      <c r="J93" s="5">
        <f t="shared" ref="J93:J94" si="65">IF(H$12=0,0,H93/H$12)</f>
        <v>0</v>
      </c>
      <c r="K93" s="1"/>
      <c r="L93" s="1">
        <f t="shared" ref="L93:L94" si="66">+D93-H93</f>
        <v>133</v>
      </c>
      <c r="M93" s="1"/>
      <c r="N93" s="5">
        <f t="shared" ref="N93:N94" si="67">IF(H93=0,0,L93/H93)</f>
        <v>2.2166666666666668E-2</v>
      </c>
      <c r="O93" s="14"/>
      <c r="P93" s="1">
        <f>SUM(OSRRefP22_21x_0)</f>
        <v>48868</v>
      </c>
      <c r="Q93" s="1"/>
      <c r="R93" s="5">
        <f t="shared" ref="R93:R94" si="68">IF(P$12=0,0,P93/P$12)</f>
        <v>0</v>
      </c>
      <c r="S93" s="1"/>
      <c r="T93" s="1">
        <f>SUM(OSRRefT22_21x_0)</f>
        <v>48000</v>
      </c>
      <c r="U93" s="1"/>
      <c r="V93" s="5">
        <f t="shared" ref="V93:V94" si="69">IF(T$12=0,0,T93/T$12)</f>
        <v>0</v>
      </c>
      <c r="W93" s="1"/>
      <c r="X93" s="1">
        <f t="shared" ref="X93:X94" si="70">+P93-T93</f>
        <v>868</v>
      </c>
      <c r="Y93" s="1"/>
      <c r="Z93" s="5">
        <f t="shared" ref="Z93:Z94" si="71">IF(T93=0,0,X93/T93)</f>
        <v>1.8083333333333333E-2</v>
      </c>
    </row>
    <row r="94" spans="1:26" s="24" customFormat="1" hidden="1" outlineLevel="2" x14ac:dyDescent="0.25">
      <c r="A94" s="27"/>
      <c r="B94" s="11" t="str">
        <f>CONCATENATE("          ", "6274", " - ", "UTILITIES")</f>
        <v xml:space="preserve">          6274 - UTILITIES</v>
      </c>
      <c r="C94" s="11"/>
      <c r="D94" s="7">
        <v>6133</v>
      </c>
      <c r="E94" s="2"/>
      <c r="F94" s="6">
        <f t="shared" si="64"/>
        <v>0</v>
      </c>
      <c r="G94" s="2"/>
      <c r="H94" s="7">
        <v>6000</v>
      </c>
      <c r="I94" s="2"/>
      <c r="J94" s="6">
        <f t="shared" si="65"/>
        <v>0</v>
      </c>
      <c r="K94" s="2"/>
      <c r="L94" s="7">
        <f t="shared" si="66"/>
        <v>133</v>
      </c>
      <c r="M94" s="2"/>
      <c r="N94" s="6">
        <f t="shared" si="67"/>
        <v>2.2166666666666668E-2</v>
      </c>
      <c r="O94" s="11"/>
      <c r="P94" s="7">
        <v>48868</v>
      </c>
      <c r="Q94" s="2"/>
      <c r="R94" s="6">
        <f t="shared" si="68"/>
        <v>0</v>
      </c>
      <c r="S94" s="2"/>
      <c r="T94" s="7">
        <v>48000</v>
      </c>
      <c r="U94" s="2"/>
      <c r="V94" s="6">
        <f t="shared" si="69"/>
        <v>0</v>
      </c>
      <c r="W94" s="2"/>
      <c r="X94" s="7">
        <f t="shared" si="70"/>
        <v>868</v>
      </c>
      <c r="Y94" s="2"/>
      <c r="Z94" s="6">
        <f t="shared" si="71"/>
        <v>1.8083333333333333E-2</v>
      </c>
    </row>
    <row r="95" spans="1:26" s="58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6" t="s">
        <v>0</v>
      </c>
      <c r="C96" s="10"/>
      <c r="D96" s="4">
        <f>SUM(OSRRefD25x_0)</f>
        <v>48964.67</v>
      </c>
      <c r="E96" s="4"/>
      <c r="F96" s="12">
        <f t="shared" ref="F96:F98" si="72">IF(D$12=0,0,D96/D$12)</f>
        <v>0</v>
      </c>
      <c r="G96" s="4"/>
      <c r="H96" s="4">
        <f>SUM(OSRRefH25x_0)</f>
        <v>18675</v>
      </c>
      <c r="I96" s="4"/>
      <c r="J96" s="12">
        <f t="shared" ref="J96:J98" si="73">IF(H$12=0,0,H96/H$12)</f>
        <v>0</v>
      </c>
      <c r="K96" s="4"/>
      <c r="L96" s="4">
        <f t="shared" ref="L96:L98" si="74">+D96-H96</f>
        <v>30289.67</v>
      </c>
      <c r="M96" s="4"/>
      <c r="N96" s="12">
        <f t="shared" ref="N96:N98" si="75">IF(H96=0,0,L96/H96)</f>
        <v>1.621936813922356</v>
      </c>
      <c r="O96" s="10"/>
      <c r="P96" s="4">
        <f>SUM(OSRRefP25x_0)</f>
        <v>175268.44</v>
      </c>
      <c r="Q96" s="4"/>
      <c r="R96" s="12">
        <f t="shared" ref="R96:R98" si="76">IF(P$12=0,0,P96/P$12)</f>
        <v>0</v>
      </c>
      <c r="S96" s="4"/>
      <c r="T96" s="4">
        <f>SUM(OSRRefT25x_0)</f>
        <v>139600</v>
      </c>
      <c r="U96" s="4"/>
      <c r="V96" s="12">
        <f t="shared" ref="V96:V98" si="77">IF(T$12=0,0,T96/T$12)</f>
        <v>0</v>
      </c>
      <c r="W96" s="4"/>
      <c r="X96" s="4">
        <f t="shared" ref="X96:X98" si="78">+P96-T96</f>
        <v>35668.44</v>
      </c>
      <c r="Y96" s="4"/>
      <c r="Z96" s="12">
        <f t="shared" ref="Z96:Z98" si="79">IF(T96=0,0,X96/T96)</f>
        <v>0.25550458452722064</v>
      </c>
    </row>
    <row r="97" spans="1:26" s="24" customFormat="1" hidden="1" outlineLevel="1" x14ac:dyDescent="0.25">
      <c r="A97" s="51"/>
      <c r="B97" s="11" t="str">
        <f>CONCATENATE("          ", "9150", " - ", "MISC. INCOME")</f>
        <v xml:space="preserve">          9150 - MISC. INCOME</v>
      </c>
      <c r="C97" s="11"/>
      <c r="D97" s="2">
        <f>--48964.67</f>
        <v>48964.67</v>
      </c>
      <c r="E97" s="2"/>
      <c r="F97" s="22">
        <f t="shared" si="72"/>
        <v>0</v>
      </c>
      <c r="G97" s="2"/>
      <c r="H97" s="2">
        <v>3200</v>
      </c>
      <c r="I97" s="2"/>
      <c r="J97" s="22">
        <f t="shared" si="73"/>
        <v>0</v>
      </c>
      <c r="K97" s="2"/>
      <c r="L97" s="2">
        <f t="shared" si="74"/>
        <v>45764.67</v>
      </c>
      <c r="M97" s="2"/>
      <c r="N97" s="22">
        <f t="shared" si="75"/>
        <v>14.301459375</v>
      </c>
      <c r="O97" s="11"/>
      <c r="P97" s="2">
        <f>--175268.44</f>
        <v>175268.44</v>
      </c>
      <c r="Q97" s="2"/>
      <c r="R97" s="22">
        <f t="shared" si="76"/>
        <v>0</v>
      </c>
      <c r="S97" s="2"/>
      <c r="T97" s="2">
        <v>17900</v>
      </c>
      <c r="U97" s="2"/>
      <c r="V97" s="22">
        <f t="shared" si="77"/>
        <v>0</v>
      </c>
      <c r="W97" s="2"/>
      <c r="X97" s="2">
        <f t="shared" si="78"/>
        <v>157368.44</v>
      </c>
      <c r="Y97" s="2"/>
      <c r="Z97" s="22">
        <f t="shared" si="79"/>
        <v>8.7915329608938553</v>
      </c>
    </row>
    <row r="98" spans="1:26" s="24" customFormat="1" hidden="1" outlineLevel="1" x14ac:dyDescent="0.25">
      <c r="A98" s="51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22">
        <f t="shared" si="72"/>
        <v>0</v>
      </c>
      <c r="G98" s="2"/>
      <c r="H98" s="2">
        <v>15475</v>
      </c>
      <c r="I98" s="2"/>
      <c r="J98" s="22">
        <f t="shared" si="73"/>
        <v>0</v>
      </c>
      <c r="K98" s="2"/>
      <c r="L98" s="2">
        <f t="shared" si="74"/>
        <v>-15475</v>
      </c>
      <c r="M98" s="2"/>
      <c r="N98" s="22">
        <f t="shared" si="75"/>
        <v>-1</v>
      </c>
      <c r="O98" s="11"/>
      <c r="P98" s="2">
        <f>0</f>
        <v>0</v>
      </c>
      <c r="Q98" s="2"/>
      <c r="R98" s="22">
        <f t="shared" si="76"/>
        <v>0</v>
      </c>
      <c r="S98" s="2"/>
      <c r="T98" s="2">
        <v>121700</v>
      </c>
      <c r="U98" s="2"/>
      <c r="V98" s="22">
        <f t="shared" si="77"/>
        <v>0</v>
      </c>
      <c r="W98" s="2"/>
      <c r="X98" s="2">
        <f t="shared" si="78"/>
        <v>-121700</v>
      </c>
      <c r="Y98" s="2"/>
      <c r="Z98" s="22">
        <f t="shared" si="79"/>
        <v>-1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19">
        <f>+D16-D18+D96</f>
        <v>-74533.719999999958</v>
      </c>
      <c r="E100" s="13"/>
      <c r="F100" s="21">
        <f>IF(D$12=0,0,D100/D$12)</f>
        <v>0</v>
      </c>
      <c r="G100" s="13"/>
      <c r="H100" s="19">
        <f>+H16-H18+H96</f>
        <v>-99719.812858201534</v>
      </c>
      <c r="I100" s="13"/>
      <c r="J100" s="21">
        <f>IF(H$12=0,0,H100/H$12)</f>
        <v>0</v>
      </c>
      <c r="K100" s="15"/>
      <c r="L100" s="19">
        <f>+D100-H100</f>
        <v>25186.092858201577</v>
      </c>
      <c r="M100" s="15"/>
      <c r="N100" s="21">
        <f>IF(H100=0,0,L100/H100)</f>
        <v>-0.25256859330467674</v>
      </c>
      <c r="O100" s="26"/>
      <c r="P100" s="19">
        <f>+P16-P18+P96</f>
        <v>-824277.4600000002</v>
      </c>
      <c r="Q100" s="13"/>
      <c r="R100" s="21">
        <f>IF(P$12=0,0,P100/P$12)</f>
        <v>0</v>
      </c>
      <c r="S100" s="13"/>
      <c r="T100" s="19">
        <f>+T16-T18+T96</f>
        <v>-1064486.7128211535</v>
      </c>
      <c r="U100" s="13"/>
      <c r="V100" s="21">
        <f>IF(T$12=0,0,T100/T$12)</f>
        <v>0</v>
      </c>
      <c r="W100" s="15"/>
      <c r="X100" s="19">
        <f>+P100-T100</f>
        <v>240209.25282115326</v>
      </c>
      <c r="Y100" s="15"/>
      <c r="Z100" s="21">
        <f>IF(T100=0,0,X100/T100)</f>
        <v>-0.22565735196876177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4">
        <f>+D100-D102</f>
        <v>-74533.719999999958</v>
      </c>
      <c r="E104" s="13"/>
      <c r="F104" s="30">
        <f>IF(D$12=0,0,D104/D$12)</f>
        <v>0</v>
      </c>
      <c r="G104" s="13"/>
      <c r="H104" s="34">
        <f>+H100-H102</f>
        <v>-99719.812858201534</v>
      </c>
      <c r="I104" s="13"/>
      <c r="J104" s="30">
        <f>IF(H$12=0,0,H104/H$12)</f>
        <v>0</v>
      </c>
      <c r="K104" s="15"/>
      <c r="L104" s="34">
        <f>D104-H104</f>
        <v>25186.092858201577</v>
      </c>
      <c r="M104" s="15"/>
      <c r="N104" s="30">
        <f>IF(H104=0,0,L104/H104)</f>
        <v>-0.25256859330467674</v>
      </c>
      <c r="O104" s="26"/>
      <c r="P104" s="34">
        <f>+P100-P102</f>
        <v>-824277.4600000002</v>
      </c>
      <c r="Q104" s="13"/>
      <c r="R104" s="30">
        <f>IF(P$12=0,0,P104/P$12)</f>
        <v>0</v>
      </c>
      <c r="S104" s="13"/>
      <c r="T104" s="34">
        <f>+T100-T102</f>
        <v>-1064486.7128211535</v>
      </c>
      <c r="U104" s="13"/>
      <c r="V104" s="30">
        <f>IF(T$12=0,0,T104/T$12)</f>
        <v>0</v>
      </c>
      <c r="W104" s="15"/>
      <c r="X104" s="34">
        <f>P104-T104</f>
        <v>240209.25282115326</v>
      </c>
      <c r="Y104" s="15"/>
      <c r="Z104" s="30">
        <f>IF(T104=0,0,X104/T104)</f>
        <v>-0.22565735196876177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5">
        <f>SUM(D104:D106)</f>
        <v>-74533.719999999958</v>
      </c>
      <c r="E107" s="13"/>
      <c r="F107" s="31">
        <f>IF(D$12=0,0,D107/D$12)</f>
        <v>0</v>
      </c>
      <c r="G107" s="13"/>
      <c r="H107" s="35">
        <f>SUM(H104:H106)</f>
        <v>-99719.812858201534</v>
      </c>
      <c r="I107" s="13"/>
      <c r="J107" s="31">
        <f>IF(H$12=0,0,H107/H$12)</f>
        <v>0</v>
      </c>
      <c r="K107" s="15"/>
      <c r="L107" s="35">
        <f>+D107-H107</f>
        <v>25186.092858201577</v>
      </c>
      <c r="M107" s="15"/>
      <c r="N107" s="31">
        <f>IF(H107=0,0,L107/H107)</f>
        <v>-0.25256859330467674</v>
      </c>
      <c r="O107" s="26"/>
      <c r="P107" s="35">
        <f>SUM(P104:P106)</f>
        <v>-824277.4600000002</v>
      </c>
      <c r="Q107" s="13"/>
      <c r="R107" s="31">
        <f>IF(P$12=0,0,P107/P$12)</f>
        <v>0</v>
      </c>
      <c r="S107" s="13"/>
      <c r="T107" s="35">
        <f>SUM(T104:T106)</f>
        <v>-1064486.7128211535</v>
      </c>
      <c r="U107" s="13"/>
      <c r="V107" s="31">
        <f>IF(T$12=0,0,T107/T$12)</f>
        <v>0</v>
      </c>
      <c r="W107" s="15"/>
      <c r="X107" s="35">
        <f>+P107-T107</f>
        <v>240209.25282115326</v>
      </c>
      <c r="Y107" s="15"/>
      <c r="Z107" s="31">
        <f>IF(T107=0,0,X107/T107)</f>
        <v>-0.22565735196876177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3">
        <v>44267.67168457176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2" t="s">
        <v>314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7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31656</v>
      </c>
      <c r="I12" s="4"/>
      <c r="J12" s="12"/>
      <c r="K12" s="4"/>
      <c r="L12" s="4">
        <f t="shared" ref="L12:L23" si="0">+D12-H12</f>
        <v>-31656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105690</v>
      </c>
      <c r="U12" s="4"/>
      <c r="V12" s="12"/>
      <c r="W12" s="4"/>
      <c r="X12" s="4">
        <f t="shared" ref="X12:X23" si="2">+P12-T12</f>
        <v>-84378.08</v>
      </c>
      <c r="Y12" s="4"/>
      <c r="Z12" s="12">
        <f t="shared" ref="Z12:Z23" si="3">IF(T12=0,0,X12/T12)</f>
        <v>-0.79835443277509699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31656</v>
      </c>
      <c r="I20" s="2"/>
      <c r="J20" s="22"/>
      <c r="K20" s="2"/>
      <c r="L20" s="2">
        <f t="shared" si="0"/>
        <v>-31656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105690</v>
      </c>
      <c r="U20" s="2"/>
      <c r="V20" s="22"/>
      <c r="W20" s="2"/>
      <c r="X20" s="2">
        <f t="shared" si="2"/>
        <v>-105690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12.76</v>
      </c>
      <c r="E25" s="4"/>
      <c r="F25" s="12">
        <f t="shared" ref="F25:F33" si="5">IF(D$12=0,0,D25/D$12)</f>
        <v>0</v>
      </c>
      <c r="G25" s="4"/>
      <c r="H25" s="4">
        <f>SUM(OSRRefH16x_0)</f>
        <v>15880</v>
      </c>
      <c r="I25" s="4"/>
      <c r="J25" s="12">
        <f t="shared" ref="J25:J33" si="6">IF(H$12=0,0,H25/H$12)</f>
        <v>0.50164265857973211</v>
      </c>
      <c r="K25" s="4"/>
      <c r="L25" s="4">
        <f t="shared" ref="L25:L33" si="7">+D25-H25</f>
        <v>-15867.24</v>
      </c>
      <c r="M25" s="4"/>
      <c r="N25" s="12">
        <f t="shared" ref="N25:N33" si="8">IF(H25=0,0,L25/H25)</f>
        <v>-0.99919647355163732</v>
      </c>
      <c r="O25" s="10"/>
      <c r="P25" s="4">
        <f>SUM(OSRRefP16x_0)</f>
        <v>13743.019999999993</v>
      </c>
      <c r="Q25" s="4"/>
      <c r="R25" s="12">
        <f t="shared" ref="R25:R33" si="9">IF(P$12=0,0,P25/P$12)</f>
        <v>0.64485133202451939</v>
      </c>
      <c r="S25" s="4"/>
      <c r="T25" s="4">
        <f>SUM(OSRRefT16x_0)</f>
        <v>53772</v>
      </c>
      <c r="U25" s="4"/>
      <c r="V25" s="12">
        <f t="shared" ref="V25:V33" si="10">IF(T$12=0,0,T25/T$12)</f>
        <v>0.50877093386318484</v>
      </c>
      <c r="W25" s="4"/>
      <c r="X25" s="4">
        <f t="shared" ref="X25:X33" si="11">+P25-T25</f>
        <v>-40028.98000000001</v>
      </c>
      <c r="Y25" s="4"/>
      <c r="Z25" s="12">
        <f t="shared" ref="Z25:Z33" si="12">IF(T25=0,0,X25/T25)</f>
        <v>-0.74442051625381256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15880</v>
      </c>
      <c r="I26" s="2"/>
      <c r="J26" s="22">
        <f t="shared" si="6"/>
        <v>0.50164265857973211</v>
      </c>
      <c r="K26" s="2"/>
      <c r="L26" s="2">
        <f t="shared" si="7"/>
        <v>-15880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53772</v>
      </c>
      <c r="U26" s="2"/>
      <c r="V26" s="22">
        <f t="shared" si="10"/>
        <v>0.50877093386318484</v>
      </c>
      <c r="W26" s="2"/>
      <c r="X26" s="2">
        <f t="shared" si="11"/>
        <v>-53772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12.76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12.76</v>
      </c>
      <c r="M33" s="2"/>
      <c r="N33" s="22">
        <f t="shared" si="8"/>
        <v>0</v>
      </c>
      <c r="O33" s="11"/>
      <c r="P33" s="2">
        <v>317.55</v>
      </c>
      <c r="Q33" s="2"/>
      <c r="R33" s="22">
        <f t="shared" si="9"/>
        <v>1.4900112237658551E-2</v>
      </c>
      <c r="S33" s="2"/>
      <c r="T33" s="2"/>
      <c r="U33" s="2"/>
      <c r="V33" s="22">
        <f t="shared" si="10"/>
        <v>0</v>
      </c>
      <c r="W33" s="2"/>
      <c r="X33" s="2">
        <f t="shared" si="11"/>
        <v>317.55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19">
        <f>D12-D25</f>
        <v>-12.76</v>
      </c>
      <c r="E35" s="13"/>
      <c r="F35" s="21">
        <f>IF(D$12=0,0,D35/D$12)</f>
        <v>0</v>
      </c>
      <c r="G35" s="13"/>
      <c r="H35" s="19">
        <f>H12-H25</f>
        <v>15776</v>
      </c>
      <c r="I35" s="13"/>
      <c r="J35" s="21">
        <f>IF(H$12=0,0,H35/H$12)</f>
        <v>0.49835734142026789</v>
      </c>
      <c r="K35" s="15"/>
      <c r="L35" s="19">
        <f>+D35-H35</f>
        <v>-15788.76</v>
      </c>
      <c r="M35" s="15"/>
      <c r="N35" s="21">
        <f>IF(H35=0,0,L35/H35)</f>
        <v>-1.0008088235294117</v>
      </c>
      <c r="O35" s="26"/>
      <c r="P35" s="19">
        <f>P12-P25</f>
        <v>7568.9000000000051</v>
      </c>
      <c r="Q35" s="13"/>
      <c r="R35" s="21">
        <f>IF(P$12=0,0,P35/P$12)</f>
        <v>0.35514866797548067</v>
      </c>
      <c r="S35" s="13"/>
      <c r="T35" s="19">
        <f>T12-T25</f>
        <v>51918</v>
      </c>
      <c r="U35" s="13"/>
      <c r="V35" s="21">
        <f>IF(T$12=0,0,T35/T$12)</f>
        <v>0.49122906613681522</v>
      </c>
      <c r="W35" s="15"/>
      <c r="X35" s="19">
        <f>+P35-T35</f>
        <v>-44349.099999999991</v>
      </c>
      <c r="Y35" s="15"/>
      <c r="Z35" s="21">
        <f>IF(T35=0,0,X35/T35)</f>
        <v>-0.85421433799452962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20">
        <f>SUM(OSRRefD22x_0)</f>
        <v>53</v>
      </c>
      <c r="E37" s="20"/>
      <c r="F37" s="33">
        <f t="shared" ref="F37:F46" si="13">IF(D$12=0,0,D37/D$12)</f>
        <v>0</v>
      </c>
      <c r="G37" s="20"/>
      <c r="H37" s="20">
        <f>SUM(OSRRefH22x_0)</f>
        <v>18817.731480000002</v>
      </c>
      <c r="I37" s="20"/>
      <c r="J37" s="33">
        <f t="shared" ref="J37:J46" si="14">IF(H$12=0,0,H37/H$12)</f>
        <v>0.59444438589840798</v>
      </c>
      <c r="K37" s="4"/>
      <c r="L37" s="20">
        <f t="shared" ref="L37:L46" si="15">+D37-H37</f>
        <v>-18764.731480000002</v>
      </c>
      <c r="M37" s="4"/>
      <c r="N37" s="33">
        <f t="shared" ref="N37:N46" si="16">IF(H37=0,0,L37/H37)</f>
        <v>-0.99718350747770368</v>
      </c>
      <c r="O37" s="10"/>
      <c r="P37" s="20">
        <f>SUM(OSRRefP22x_0)</f>
        <v>12533.749999999996</v>
      </c>
      <c r="Q37" s="20"/>
      <c r="R37" s="33">
        <f t="shared" ref="R37:R46" si="17">IF(P$12=0,0,P37/P$12)</f>
        <v>0.58810984650843268</v>
      </c>
      <c r="S37" s="20"/>
      <c r="T37" s="20">
        <f>SUM(OSRRefT22x_0)</f>
        <v>97269.723553999997</v>
      </c>
      <c r="U37" s="20"/>
      <c r="V37" s="33">
        <f t="shared" ref="V37:V46" si="18">IF(T$12=0,0,T37/T$12)</f>
        <v>0.92033043385372315</v>
      </c>
      <c r="W37" s="4"/>
      <c r="X37" s="20">
        <f t="shared" ref="X37:X46" si="19">+P37-T37</f>
        <v>-84735.973553999997</v>
      </c>
      <c r="Y37" s="4"/>
      <c r="Z37" s="33">
        <f t="shared" ref="Z37:Z46" si="20">IF(T37=0,0,X37/T37)</f>
        <v>-0.8711443855081813</v>
      </c>
    </row>
    <row r="38" spans="1:26" s="28" customFormat="1" outlineLevel="1" collapsed="1" x14ac:dyDescent="0.25">
      <c r="A38" s="29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2298.17148</v>
      </c>
      <c r="I38" s="1"/>
      <c r="J38" s="5">
        <f t="shared" si="14"/>
        <v>7.2598290371493554E-2</v>
      </c>
      <c r="K38" s="1"/>
      <c r="L38" s="1">
        <f t="shared" si="15"/>
        <v>-2298.17148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15942.383554</v>
      </c>
      <c r="U38" s="1"/>
      <c r="V38" s="5">
        <f t="shared" si="18"/>
        <v>0.15084098357460499</v>
      </c>
      <c r="W38" s="1"/>
      <c r="X38" s="1">
        <f t="shared" si="19"/>
        <v>-15164.183553999999</v>
      </c>
      <c r="Y38" s="1"/>
      <c r="Z38" s="5">
        <f t="shared" si="20"/>
        <v>-0.95118672202534305</v>
      </c>
    </row>
    <row r="39" spans="1:26" s="24" customFormat="1" hidden="1" outlineLevel="2" x14ac:dyDescent="0.25">
      <c r="A39" s="27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547.86296400000003</v>
      </c>
      <c r="I39" s="2"/>
      <c r="J39" s="6">
        <f t="shared" si="14"/>
        <v>1.7306765352539805E-2</v>
      </c>
      <c r="K39" s="2"/>
      <c r="L39" s="7">
        <f t="shared" si="15"/>
        <v>-547.86296400000003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3511.6555800000001</v>
      </c>
      <c r="U39" s="2"/>
      <c r="V39" s="6">
        <f t="shared" si="18"/>
        <v>3.322599659381209E-2</v>
      </c>
      <c r="W39" s="2"/>
      <c r="X39" s="7">
        <f t="shared" si="19"/>
        <v>-3027.04558</v>
      </c>
      <c r="Y39" s="2"/>
      <c r="Z39" s="6">
        <f t="shared" si="20"/>
        <v>-0.86199956431945979</v>
      </c>
    </row>
    <row r="40" spans="1:26" s="24" customFormat="1" hidden="1" outlineLevel="2" x14ac:dyDescent="0.25">
      <c r="A40" s="27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233.27686</v>
      </c>
      <c r="I40" s="2"/>
      <c r="J40" s="6">
        <f t="shared" si="14"/>
        <v>7.3691199140763202E-3</v>
      </c>
      <c r="K40" s="2"/>
      <c r="L40" s="7">
        <f t="shared" si="15"/>
        <v>-233.27686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1177.4572900000001</v>
      </c>
      <c r="U40" s="2"/>
      <c r="V40" s="6">
        <f t="shared" si="18"/>
        <v>1.1140668842842275E-2</v>
      </c>
      <c r="W40" s="2"/>
      <c r="X40" s="7">
        <f t="shared" si="19"/>
        <v>-921.88729000000012</v>
      </c>
      <c r="Y40" s="2"/>
      <c r="Z40" s="6">
        <f t="shared" si="20"/>
        <v>-0.78294754113756437</v>
      </c>
    </row>
    <row r="41" spans="1:26" s="24" customFormat="1" hidden="1" outlineLevel="2" x14ac:dyDescent="0.25">
      <c r="A41" s="27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2.1007076067728076E-2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5320</v>
      </c>
      <c r="U41" s="2"/>
      <c r="V41" s="6">
        <f t="shared" si="18"/>
        <v>5.0335887974264359E-2</v>
      </c>
      <c r="W41" s="2"/>
      <c r="X41" s="7">
        <f t="shared" si="19"/>
        <v>-5320</v>
      </c>
      <c r="Y41" s="2"/>
      <c r="Z41" s="6">
        <f t="shared" si="20"/>
        <v>-1</v>
      </c>
    </row>
    <row r="42" spans="1:26" s="24" customFormat="1" hidden="1" outlineLevel="2" x14ac:dyDescent="0.25">
      <c r="A42" s="27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32.784855999999998</v>
      </c>
      <c r="I42" s="2"/>
      <c r="J42" s="6">
        <f t="shared" si="14"/>
        <v>1.0356600960323478E-3</v>
      </c>
      <c r="K42" s="2"/>
      <c r="L42" s="7">
        <f t="shared" si="15"/>
        <v>-32.784855999999998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165.48048399999999</v>
      </c>
      <c r="U42" s="2"/>
      <c r="V42" s="6">
        <f t="shared" si="18"/>
        <v>1.5657156211562114E-3</v>
      </c>
      <c r="W42" s="2"/>
      <c r="X42" s="7">
        <f t="shared" si="19"/>
        <v>-127.46048399999998</v>
      </c>
      <c r="Y42" s="2"/>
      <c r="Z42" s="6">
        <f t="shared" si="20"/>
        <v>-0.77024481025810865</v>
      </c>
    </row>
    <row r="43" spans="1:26" s="24" customFormat="1" hidden="1" outlineLevel="2" x14ac:dyDescent="0.25">
      <c r="A43" s="27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1.1301491028556987E-2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3130.4</v>
      </c>
      <c r="U43" s="2"/>
      <c r="V43" s="6">
        <f t="shared" si="18"/>
        <v>2.961869618696187E-2</v>
      </c>
      <c r="W43" s="2"/>
      <c r="X43" s="7">
        <f t="shared" si="19"/>
        <v>-3130.4</v>
      </c>
      <c r="Y43" s="2"/>
      <c r="Z43" s="6">
        <f t="shared" si="20"/>
        <v>-1</v>
      </c>
    </row>
    <row r="44" spans="1:26" s="24" customFormat="1" hidden="1" outlineLevel="2" x14ac:dyDescent="0.25">
      <c r="A44" s="27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7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3.9423805913570888E-3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1092</v>
      </c>
      <c r="U45" s="2"/>
      <c r="V45" s="6">
        <f t="shared" si="18"/>
        <v>1.0332103321033211E-2</v>
      </c>
      <c r="W45" s="2"/>
      <c r="X45" s="7">
        <f t="shared" si="19"/>
        <v>-1092</v>
      </c>
      <c r="Y45" s="2"/>
      <c r="Z45" s="6">
        <f t="shared" si="20"/>
        <v>-1</v>
      </c>
    </row>
    <row r="46" spans="1:26" s="24" customFormat="1" hidden="1" outlineLevel="2" x14ac:dyDescent="0.25">
      <c r="A46" s="27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336.68680000000001</v>
      </c>
      <c r="I46" s="2"/>
      <c r="J46" s="6">
        <f t="shared" si="14"/>
        <v>1.0635797321202931E-2</v>
      </c>
      <c r="K46" s="2"/>
      <c r="L46" s="7">
        <f t="shared" si="15"/>
        <v>-336.68680000000001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1545.3902</v>
      </c>
      <c r="U46" s="2"/>
      <c r="V46" s="6">
        <f t="shared" si="18"/>
        <v>1.4621915034534961E-2</v>
      </c>
      <c r="W46" s="2"/>
      <c r="X46" s="7">
        <f t="shared" si="19"/>
        <v>-1545.3902</v>
      </c>
      <c r="Y46" s="2"/>
      <c r="Z46" s="6">
        <f t="shared" si="20"/>
        <v>-1</v>
      </c>
    </row>
    <row r="47" spans="1:26" s="28" customFormat="1" outlineLevel="1" collapsed="1" x14ac:dyDescent="0.25">
      <c r="A47" s="29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12401.56</v>
      </c>
      <c r="I47" s="1"/>
      <c r="J47" s="5">
        <f t="shared" ref="J47:J57" si="22">IF(H$12=0,0,H47/H$12)</f>
        <v>0.39176017184735912</v>
      </c>
      <c r="K47" s="1"/>
      <c r="L47" s="1">
        <f t="shared" ref="L47:L57" si="23">+D47-H47</f>
        <v>-12401.56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61826.34</v>
      </c>
      <c r="U47" s="1"/>
      <c r="V47" s="5">
        <f t="shared" ref="V47:V57" si="26">IF(T$12=0,0,T47/T$12)</f>
        <v>0.58497814362759004</v>
      </c>
      <c r="W47" s="1"/>
      <c r="X47" s="1">
        <f t="shared" ref="X47:X57" si="27">+P47-T47</f>
        <v>-53673.799999999996</v>
      </c>
      <c r="Y47" s="1"/>
      <c r="Z47" s="5">
        <f t="shared" ref="Z47:Z57" si="28">IF(T47=0,0,X47/T47)</f>
        <v>-0.86813807836595214</v>
      </c>
    </row>
    <row r="48" spans="1:26" s="24" customFormat="1" hidden="1" outlineLevel="2" x14ac:dyDescent="0.25">
      <c r="A48" s="27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0.12484205205964115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34580</v>
      </c>
      <c r="U48" s="2"/>
      <c r="V48" s="6">
        <f t="shared" si="26"/>
        <v>0.32718327183271834</v>
      </c>
      <c r="W48" s="2"/>
      <c r="X48" s="7">
        <f t="shared" si="27"/>
        <v>-34580</v>
      </c>
      <c r="Y48" s="2"/>
      <c r="Z48" s="6">
        <f t="shared" si="28"/>
        <v>-1</v>
      </c>
    </row>
    <row r="49" spans="1:26" s="24" customFormat="1" hidden="1" outlineLevel="2" x14ac:dyDescent="0.25">
      <c r="A49" s="27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7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7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2998.8</v>
      </c>
      <c r="I51" s="2"/>
      <c r="J51" s="6">
        <f t="shared" si="22"/>
        <v>9.4730856709628511E-2</v>
      </c>
      <c r="K51" s="2"/>
      <c r="L51" s="7">
        <f t="shared" si="23"/>
        <v>-2998.8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9486</v>
      </c>
      <c r="U51" s="2"/>
      <c r="V51" s="6">
        <f t="shared" si="26"/>
        <v>8.9753051376667614E-2</v>
      </c>
      <c r="W51" s="2"/>
      <c r="X51" s="7">
        <f t="shared" si="27"/>
        <v>-9486</v>
      </c>
      <c r="Y51" s="2"/>
      <c r="Z51" s="6">
        <f t="shared" si="28"/>
        <v>-1</v>
      </c>
    </row>
    <row r="52" spans="1:26" s="24" customFormat="1" hidden="1" outlineLevel="2" x14ac:dyDescent="0.25">
      <c r="A52" s="27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2744</v>
      </c>
      <c r="I52" s="2"/>
      <c r="J52" s="6">
        <f t="shared" si="22"/>
        <v>8.6681829668941113E-2</v>
      </c>
      <c r="K52" s="2"/>
      <c r="L52" s="7">
        <f t="shared" si="23"/>
        <v>-2744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5138</v>
      </c>
      <c r="U52" s="2"/>
      <c r="V52" s="6">
        <f t="shared" si="26"/>
        <v>4.8613870754092153E-2</v>
      </c>
      <c r="W52" s="2"/>
      <c r="X52" s="7">
        <f t="shared" si="27"/>
        <v>241.1899999999996</v>
      </c>
      <c r="Y52" s="2"/>
      <c r="Z52" s="6">
        <f t="shared" si="28"/>
        <v>4.6942390035033012E-2</v>
      </c>
    </row>
    <row r="53" spans="1:26" s="24" customFormat="1" hidden="1" outlineLevel="2" x14ac:dyDescent="0.25">
      <c r="A53" s="27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7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7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2706.76</v>
      </c>
      <c r="I55" s="2"/>
      <c r="J55" s="6">
        <f t="shared" si="22"/>
        <v>8.5505433409148346E-2</v>
      </c>
      <c r="K55" s="2"/>
      <c r="L55" s="7">
        <f t="shared" si="23"/>
        <v>-2706.76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12622.34</v>
      </c>
      <c r="U55" s="2"/>
      <c r="V55" s="6">
        <f t="shared" si="26"/>
        <v>0.11942794966411202</v>
      </c>
      <c r="W55" s="2"/>
      <c r="X55" s="7">
        <f t="shared" si="27"/>
        <v>-12622.34</v>
      </c>
      <c r="Y55" s="2"/>
      <c r="Z55" s="6">
        <f t="shared" si="28"/>
        <v>-1</v>
      </c>
    </row>
    <row r="56" spans="1:26" s="24" customFormat="1" hidden="1" outlineLevel="2" x14ac:dyDescent="0.25">
      <c r="A56" s="27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7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25">
      <c r="A58" s="29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3.1589588071771544E-3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700</v>
      </c>
      <c r="U58" s="1"/>
      <c r="V58" s="5">
        <f t="shared" ref="V58:V66" si="34">IF(T$12=0,0,T58/T$12)</f>
        <v>6.6231431545084683E-3</v>
      </c>
      <c r="W58" s="1"/>
      <c r="X58" s="1">
        <f t="shared" ref="X58:X66" si="35">+P58-T58</f>
        <v>-575.28</v>
      </c>
      <c r="Y58" s="1"/>
      <c r="Z58" s="5">
        <f t="shared" ref="Z58:Z66" si="36">IF(T58=0,0,X58/T58)</f>
        <v>-0.82182857142857135</v>
      </c>
    </row>
    <row r="59" spans="1:26" s="24" customFormat="1" hidden="1" outlineLevel="2" x14ac:dyDescent="0.25">
      <c r="A59" s="27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3.1589588071771544E-3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700</v>
      </c>
      <c r="U59" s="2"/>
      <c r="V59" s="6">
        <f t="shared" si="34"/>
        <v>6.6231431545084683E-3</v>
      </c>
      <c r="W59" s="2"/>
      <c r="X59" s="7">
        <f t="shared" si="35"/>
        <v>-575.28</v>
      </c>
      <c r="Y59" s="2"/>
      <c r="Z59" s="6">
        <f t="shared" si="36"/>
        <v>-0.82182857142857135</v>
      </c>
    </row>
    <row r="60" spans="1:26" s="28" customFormat="1" outlineLevel="1" collapsed="1" x14ac:dyDescent="0.25">
      <c r="A60" s="29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7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25">
      <c r="A62" s="29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2180</v>
      </c>
      <c r="I62" s="1"/>
      <c r="J62" s="5">
        <f t="shared" si="30"/>
        <v>6.8865301996461972E-2</v>
      </c>
      <c r="K62" s="1"/>
      <c r="L62" s="1">
        <f t="shared" si="31"/>
        <v>-2180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6772</v>
      </c>
      <c r="U62" s="1"/>
      <c r="V62" s="5">
        <f t="shared" si="34"/>
        <v>6.40741792033305E-2</v>
      </c>
      <c r="W62" s="1"/>
      <c r="X62" s="1">
        <f t="shared" si="35"/>
        <v>-6772</v>
      </c>
      <c r="Y62" s="1"/>
      <c r="Z62" s="5">
        <f t="shared" si="36"/>
        <v>-1</v>
      </c>
    </row>
    <row r="63" spans="1:26" s="24" customFormat="1" hidden="1" outlineLevel="2" x14ac:dyDescent="0.25">
      <c r="A63" s="27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2180</v>
      </c>
      <c r="I63" s="2"/>
      <c r="J63" s="6">
        <f t="shared" si="30"/>
        <v>6.8865301996461972E-2</v>
      </c>
      <c r="K63" s="2"/>
      <c r="L63" s="7">
        <f t="shared" si="31"/>
        <v>-2180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6772</v>
      </c>
      <c r="U63" s="2"/>
      <c r="V63" s="6">
        <f t="shared" si="34"/>
        <v>6.40741792033305E-2</v>
      </c>
      <c r="W63" s="2"/>
      <c r="X63" s="7">
        <f t="shared" si="35"/>
        <v>-6772</v>
      </c>
      <c r="Y63" s="2"/>
      <c r="Z63" s="6">
        <f t="shared" si="36"/>
        <v>-1</v>
      </c>
    </row>
    <row r="64" spans="1:26" s="28" customFormat="1" outlineLevel="1" collapsed="1" x14ac:dyDescent="0.25">
      <c r="A64" s="29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696</v>
      </c>
      <c r="I64" s="1"/>
      <c r="J64" s="5">
        <f t="shared" si="30"/>
        <v>2.1986353297952996E-2</v>
      </c>
      <c r="K64" s="1"/>
      <c r="L64" s="1">
        <f t="shared" si="31"/>
        <v>-696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2308</v>
      </c>
      <c r="U64" s="1"/>
      <c r="V64" s="5">
        <f t="shared" si="34"/>
        <v>2.1837449143722206E-2</v>
      </c>
      <c r="W64" s="1"/>
      <c r="X64" s="1">
        <f t="shared" si="35"/>
        <v>-2308</v>
      </c>
      <c r="Y64" s="1"/>
      <c r="Z64" s="5">
        <f t="shared" si="36"/>
        <v>-1</v>
      </c>
    </row>
    <row r="65" spans="1:26" s="24" customFormat="1" hidden="1" outlineLevel="2" x14ac:dyDescent="0.25">
      <c r="A65" s="27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696</v>
      </c>
      <c r="I65" s="2"/>
      <c r="J65" s="6">
        <f t="shared" si="30"/>
        <v>2.1986353297952996E-2</v>
      </c>
      <c r="K65" s="2"/>
      <c r="L65" s="7">
        <f t="shared" si="31"/>
        <v>-696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2308</v>
      </c>
      <c r="U65" s="2"/>
      <c r="V65" s="6">
        <f t="shared" si="34"/>
        <v>2.1837449143722206E-2</v>
      </c>
      <c r="W65" s="2"/>
      <c r="X65" s="7">
        <f t="shared" si="35"/>
        <v>-2308</v>
      </c>
      <c r="Y65" s="2"/>
      <c r="Z65" s="6">
        <f t="shared" si="36"/>
        <v>-1</v>
      </c>
    </row>
    <row r="66" spans="1:26" s="24" customFormat="1" hidden="1" outlineLevel="2" x14ac:dyDescent="0.25">
      <c r="A66" s="27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25">
      <c r="A67" s="29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368</v>
      </c>
      <c r="I67" s="1"/>
      <c r="J67" s="5">
        <f t="shared" ref="J67:J75" si="38">IF(H$12=0,0,H67/H$12)</f>
        <v>1.1624968410411928E-2</v>
      </c>
      <c r="K67" s="1"/>
      <c r="L67" s="1">
        <f t="shared" ref="L67:L75" si="39">+D67-H67</f>
        <v>-368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1983</v>
      </c>
      <c r="U67" s="1"/>
      <c r="V67" s="5">
        <f t="shared" ref="V67:V75" si="42">IF(T$12=0,0,T67/T$12)</f>
        <v>1.8762418393414703E-2</v>
      </c>
      <c r="W67" s="1"/>
      <c r="X67" s="1">
        <f t="shared" ref="X67:X75" si="43">+P67-T67</f>
        <v>-1983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7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368</v>
      </c>
      <c r="I68" s="2"/>
      <c r="J68" s="6">
        <f t="shared" si="38"/>
        <v>1.1624968410411928E-2</v>
      </c>
      <c r="K68" s="2"/>
      <c r="L68" s="7">
        <f t="shared" si="39"/>
        <v>-368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1983</v>
      </c>
      <c r="U68" s="2"/>
      <c r="V68" s="6">
        <f t="shared" si="42"/>
        <v>1.8762418393414703E-2</v>
      </c>
      <c r="W68" s="2"/>
      <c r="X68" s="7">
        <f t="shared" si="43"/>
        <v>-1983</v>
      </c>
      <c r="Y68" s="2"/>
      <c r="Z68" s="6">
        <f t="shared" si="44"/>
        <v>-1</v>
      </c>
    </row>
    <row r="69" spans="1:26" s="28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9.4616330778692394E-3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7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9.4616330778692394E-3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25">
      <c r="A71" s="29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7.5693064622953925E-3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7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7.5693064622953925E-3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3.1589588071771544E-3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800</v>
      </c>
      <c r="U73" s="1"/>
      <c r="V73" s="5">
        <f t="shared" si="42"/>
        <v>7.5693064622953925E-3</v>
      </c>
      <c r="W73" s="1"/>
      <c r="X73" s="1">
        <f t="shared" si="43"/>
        <v>-599.18000000000006</v>
      </c>
      <c r="Y73" s="1"/>
      <c r="Z73" s="5">
        <f t="shared" si="44"/>
        <v>-0.74897500000000006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3.1589588071771544E-3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800</v>
      </c>
      <c r="U75" s="2"/>
      <c r="V75" s="6">
        <f t="shared" si="42"/>
        <v>7.5693064622953925E-3</v>
      </c>
      <c r="W75" s="2"/>
      <c r="X75" s="7">
        <f t="shared" si="43"/>
        <v>-800</v>
      </c>
      <c r="Y75" s="2"/>
      <c r="Z75" s="6">
        <f t="shared" si="44"/>
        <v>-1</v>
      </c>
    </row>
    <row r="76" spans="1:26" s="28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8.6555471316654038E-3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1918</v>
      </c>
      <c r="U76" s="1"/>
      <c r="V76" s="5">
        <f t="shared" ref="V76:V78" si="50">IF(T$12=0,0,T76/T$12)</f>
        <v>1.8147412243353204E-2</v>
      </c>
      <c r="W76" s="1"/>
      <c r="X76" s="1">
        <f t="shared" ref="X76:X78" si="51">+P76-T76</f>
        <v>-1899.5</v>
      </c>
      <c r="Y76" s="1"/>
      <c r="Z76" s="5">
        <f t="shared" ref="Z76:Z78" si="52">IF(T76=0,0,X76/T76)</f>
        <v>-0.99035453597497392</v>
      </c>
    </row>
    <row r="77" spans="1:26" s="24" customFormat="1" hidden="1" outlineLevel="2" x14ac:dyDescent="0.25">
      <c r="A77" s="27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7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8.6555471316654038E-3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1918</v>
      </c>
      <c r="U78" s="2"/>
      <c r="V78" s="6">
        <f t="shared" si="50"/>
        <v>1.8147412243353204E-2</v>
      </c>
      <c r="W78" s="2"/>
      <c r="X78" s="7">
        <f t="shared" si="51"/>
        <v>-2075.5</v>
      </c>
      <c r="Y78" s="2"/>
      <c r="Z78" s="6">
        <f t="shared" si="52"/>
        <v>-1.082116788321168</v>
      </c>
    </row>
    <row r="79" spans="1:26" s="28" customFormat="1" outlineLevel="1" collapsed="1" x14ac:dyDescent="0.25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9.4768764215314629E-3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2300</v>
      </c>
      <c r="U79" s="1"/>
      <c r="V79" s="5">
        <f t="shared" ref="V79:V83" si="58">IF(T$12=0,0,T79/T$12)</f>
        <v>2.1761756079099252E-2</v>
      </c>
      <c r="W79" s="1"/>
      <c r="X79" s="1">
        <f t="shared" ref="X79:X83" si="59">+P79-T79</f>
        <v>-407.73</v>
      </c>
      <c r="Y79" s="1"/>
      <c r="Z79" s="5">
        <f t="shared" ref="Z79:Z83" si="60">IF(T79=0,0,X79/T79)</f>
        <v>-0.17727391304347828</v>
      </c>
    </row>
    <row r="80" spans="1:26" s="24" customFormat="1" hidden="1" outlineLevel="2" x14ac:dyDescent="0.25">
      <c r="A80" s="27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6.3179176143543089E-3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1400</v>
      </c>
      <c r="U80" s="2"/>
      <c r="V80" s="6">
        <f t="shared" si="58"/>
        <v>1.3246286309016937E-2</v>
      </c>
      <c r="W80" s="2"/>
      <c r="X80" s="7">
        <f t="shared" si="59"/>
        <v>-955.7</v>
      </c>
      <c r="Y80" s="2"/>
      <c r="Z80" s="6">
        <f t="shared" si="60"/>
        <v>-0.68264285714285722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3.1589588071771544E-3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700</v>
      </c>
      <c r="U82" s="2"/>
      <c r="V82" s="6">
        <f t="shared" si="58"/>
        <v>6.6231431545084683E-3</v>
      </c>
      <c r="W82" s="2"/>
      <c r="X82" s="7">
        <f t="shared" si="59"/>
        <v>522.73</v>
      </c>
      <c r="Y82" s="2"/>
      <c r="Z82" s="6">
        <f t="shared" si="60"/>
        <v>0.7467571428571429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1.8923266155738481E-3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8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3.1589588071771544E-3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472.05</v>
      </c>
      <c r="Q84" s="1"/>
      <c r="R84" s="5">
        <f t="shared" ref="R84:R86" si="65">IF(P$12=0,0,P84/P$12)</f>
        <v>2.2149576387298753E-2</v>
      </c>
      <c r="S84" s="1"/>
      <c r="T84" s="1">
        <f>SUM(OSRRefT22_12x_0)</f>
        <v>800</v>
      </c>
      <c r="U84" s="1"/>
      <c r="V84" s="5">
        <f t="shared" ref="V84:V86" si="66">IF(T$12=0,0,T84/T$12)</f>
        <v>7.5693064622953925E-3</v>
      </c>
      <c r="W84" s="1"/>
      <c r="X84" s="1">
        <f t="shared" ref="X84:X86" si="67">+P84-T84</f>
        <v>-327.95</v>
      </c>
      <c r="Y84" s="1"/>
      <c r="Z84" s="5">
        <f t="shared" ref="Z84:Z86" si="68">IF(T84=0,0,X84/T84)</f>
        <v>-0.40993750000000001</v>
      </c>
    </row>
    <row r="85" spans="1:26" s="24" customFormat="1" hidden="1" outlineLevel="2" x14ac:dyDescent="0.25">
      <c r="A85" s="27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3.1589588071771544E-3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800</v>
      </c>
      <c r="U85" s="2"/>
      <c r="V85" s="6">
        <f t="shared" si="66"/>
        <v>7.5693064622953925E-3</v>
      </c>
      <c r="W85" s="2"/>
      <c r="X85" s="7">
        <f t="shared" si="67"/>
        <v>-800</v>
      </c>
      <c r="Y85" s="2"/>
      <c r="Z85" s="6">
        <f t="shared" si="68"/>
        <v>-1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472.05</v>
      </c>
      <c r="Q86" s="2"/>
      <c r="R86" s="6">
        <f t="shared" si="65"/>
        <v>2.2149576387298753E-2</v>
      </c>
      <c r="S86" s="2"/>
      <c r="T86" s="7"/>
      <c r="U86" s="2"/>
      <c r="V86" s="6">
        <f t="shared" si="66"/>
        <v>0</v>
      </c>
      <c r="W86" s="2"/>
      <c r="X86" s="7">
        <f t="shared" si="67"/>
        <v>472.05</v>
      </c>
      <c r="Y86" s="2"/>
      <c r="Z86" s="6">
        <f t="shared" si="68"/>
        <v>0</v>
      </c>
    </row>
    <row r="87" spans="1:26" s="28" customFormat="1" outlineLevel="1" collapsed="1" x14ac:dyDescent="0.25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1.1353959693443088E-3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1.1353959693443088E-3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8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19">
        <f>+D35-D37+D90</f>
        <v>-65.760000000000005</v>
      </c>
      <c r="E92" s="13"/>
      <c r="F92" s="21">
        <f>IF(D$12=0,0,D92/D$12)</f>
        <v>0</v>
      </c>
      <c r="G92" s="13"/>
      <c r="H92" s="19">
        <f>+H35-H37+H90</f>
        <v>-3041.7314800000022</v>
      </c>
      <c r="I92" s="13"/>
      <c r="J92" s="21">
        <f>IF(H$12=0,0,H92/H$12)</f>
        <v>-9.608704447814008E-2</v>
      </c>
      <c r="K92" s="15"/>
      <c r="L92" s="19">
        <f>+D92-H92</f>
        <v>2975.971480000002</v>
      </c>
      <c r="M92" s="15"/>
      <c r="N92" s="21">
        <f>IF(H92=0,0,L92/H92)</f>
        <v>-0.97838073464657038</v>
      </c>
      <c r="O92" s="26"/>
      <c r="P92" s="19">
        <f>+P35-P37+P90</f>
        <v>-4964.8499999999913</v>
      </c>
      <c r="Q92" s="13"/>
      <c r="R92" s="21">
        <f>IF(P$12=0,0,P92/P$12)</f>
        <v>-0.23296117853295206</v>
      </c>
      <c r="S92" s="13"/>
      <c r="T92" s="19">
        <f>+T35-T37+T90</f>
        <v>-45351.723553999997</v>
      </c>
      <c r="U92" s="13"/>
      <c r="V92" s="21">
        <f>IF(T$12=0,0,T92/T$12)</f>
        <v>-0.42910136771690788</v>
      </c>
      <c r="W92" s="15"/>
      <c r="X92" s="19">
        <f>+P92-T92</f>
        <v>40386.873554000005</v>
      </c>
      <c r="Y92" s="15"/>
      <c r="Z92" s="21">
        <f>IF(T92=0,0,X92/T92)</f>
        <v>-0.89052566008680178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351.84</v>
      </c>
      <c r="E94" s="4"/>
      <c r="F94" s="12">
        <f>IF(D$12=0,0,D94/D$12)</f>
        <v>0</v>
      </c>
      <c r="G94" s="4"/>
      <c r="H94" s="4">
        <v>4013</v>
      </c>
      <c r="I94" s="4"/>
      <c r="J94" s="12">
        <f>IF(H$12=0,0,H94/H$12)</f>
        <v>0.1267690169320192</v>
      </c>
      <c r="K94" s="4"/>
      <c r="L94" s="4">
        <f>+D94-H94</f>
        <v>-3661.16</v>
      </c>
      <c r="M94" s="4"/>
      <c r="N94" s="12">
        <f>IF(H94=0,0,L94/H94)</f>
        <v>-0.9123249439322203</v>
      </c>
      <c r="O94" s="10"/>
      <c r="P94" s="4">
        <v>4220.5200000000004</v>
      </c>
      <c r="Q94" s="4"/>
      <c r="R94" s="12">
        <f>IF(P$12=0,0,P94/P$12)</f>
        <v>0.19803565328698686</v>
      </c>
      <c r="S94" s="4"/>
      <c r="T94" s="4">
        <v>22354</v>
      </c>
      <c r="U94" s="4"/>
      <c r="V94" s="12">
        <f>IF(T$12=0,0,T94/T$12)</f>
        <v>0.21150534582268898</v>
      </c>
      <c r="W94" s="4"/>
      <c r="X94" s="4">
        <f>+P94-T94</f>
        <v>-18133.48</v>
      </c>
      <c r="Y94" s="4"/>
      <c r="Z94" s="12">
        <f>IF(T94=0,0,X94/T94)</f>
        <v>-0.81119620649548174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4">
        <f>+D92-D94</f>
        <v>-417.59999999999997</v>
      </c>
      <c r="E96" s="13"/>
      <c r="F96" s="30">
        <f>IF(D$12=0,0,D96/D$12)</f>
        <v>0</v>
      </c>
      <c r="G96" s="13"/>
      <c r="H96" s="34">
        <f>+H92-H94</f>
        <v>-7054.7314800000022</v>
      </c>
      <c r="I96" s="13"/>
      <c r="J96" s="30">
        <f>IF(H$12=0,0,H96/H$12)</f>
        <v>-0.22285606141015929</v>
      </c>
      <c r="K96" s="15"/>
      <c r="L96" s="34">
        <f>D96-H96</f>
        <v>6637.1314800000018</v>
      </c>
      <c r="M96" s="15"/>
      <c r="N96" s="30">
        <f>IF(H96=0,0,L96/H96)</f>
        <v>-0.94080568464102621</v>
      </c>
      <c r="O96" s="26"/>
      <c r="P96" s="34">
        <f>+P92-P94</f>
        <v>-9185.3699999999917</v>
      </c>
      <c r="Q96" s="13"/>
      <c r="R96" s="30">
        <f>IF(P$12=0,0,P96/P$12)</f>
        <v>-0.43099683181993892</v>
      </c>
      <c r="S96" s="13"/>
      <c r="T96" s="34">
        <f>+T92-T94</f>
        <v>-67705.723553999997</v>
      </c>
      <c r="U96" s="13"/>
      <c r="V96" s="30">
        <f>IF(T$12=0,0,T96/T$12)</f>
        <v>-0.64060671353959686</v>
      </c>
      <c r="W96" s="15"/>
      <c r="X96" s="34">
        <f>P96-T96</f>
        <v>58520.353554000001</v>
      </c>
      <c r="Y96" s="15"/>
      <c r="Z96" s="30">
        <f>IF(T96=0,0,X96/T96)</f>
        <v>-0.86433392159713018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5">
        <f>SUM(D96:D98)</f>
        <v>-417.59999999999997</v>
      </c>
      <c r="E99" s="13"/>
      <c r="F99" s="31">
        <f>IF(D$12=0,0,D99/D$12)</f>
        <v>0</v>
      </c>
      <c r="G99" s="13"/>
      <c r="H99" s="35">
        <f>SUM(H96:H98)</f>
        <v>-7054.7314800000022</v>
      </c>
      <c r="I99" s="13"/>
      <c r="J99" s="31">
        <f>IF(H$12=0,0,H99/H$12)</f>
        <v>-0.22285606141015929</v>
      </c>
      <c r="K99" s="15"/>
      <c r="L99" s="35">
        <f>+D99-H99</f>
        <v>6637.1314800000018</v>
      </c>
      <c r="M99" s="15"/>
      <c r="N99" s="31">
        <f>IF(H99=0,0,L99/H99)</f>
        <v>-0.94080568464102621</v>
      </c>
      <c r="O99" s="26"/>
      <c r="P99" s="35">
        <f>SUM(P96:P98)</f>
        <v>-9185.3699999999917</v>
      </c>
      <c r="Q99" s="13"/>
      <c r="R99" s="31">
        <f>IF(P$12=0,0,P99/P$12)</f>
        <v>-0.43099683181993892</v>
      </c>
      <c r="S99" s="13"/>
      <c r="T99" s="35">
        <f>SUM(T96:T98)</f>
        <v>-67705.723553999997</v>
      </c>
      <c r="U99" s="13"/>
      <c r="V99" s="31">
        <f>IF(T$12=0,0,T99/T$12)</f>
        <v>-0.64060671353959686</v>
      </c>
      <c r="W99" s="15"/>
      <c r="X99" s="35">
        <f>+P99-T99</f>
        <v>58520.353554000001</v>
      </c>
      <c r="Y99" s="15"/>
      <c r="Z99" s="31">
        <f>IF(T99=0,0,X99/T99)</f>
        <v>-0.86433392159713018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3">
        <v>44267.671379513886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314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9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31656</v>
      </c>
      <c r="I12" s="4"/>
      <c r="J12" s="12"/>
      <c r="K12" s="4"/>
      <c r="L12" s="4">
        <f t="shared" ref="L12:L23" si="0">+D12-H12</f>
        <v>-31656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105690</v>
      </c>
      <c r="U12" s="4"/>
      <c r="V12" s="12"/>
      <c r="W12" s="4"/>
      <c r="X12" s="4">
        <f t="shared" ref="X12:X23" si="2">+P12-T12</f>
        <v>-84378.08</v>
      </c>
      <c r="Y12" s="4"/>
      <c r="Z12" s="12">
        <f t="shared" ref="Z12:Z23" si="3">IF(T12=0,0,X12/T12)</f>
        <v>-0.79835443277509699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31656</v>
      </c>
      <c r="I20" s="2"/>
      <c r="J20" s="22"/>
      <c r="K20" s="2"/>
      <c r="L20" s="2">
        <f t="shared" si="0"/>
        <v>-31656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105690</v>
      </c>
      <c r="U20" s="2"/>
      <c r="V20" s="22"/>
      <c r="W20" s="2"/>
      <c r="X20" s="2">
        <f t="shared" si="2"/>
        <v>-105690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12.76</v>
      </c>
      <c r="E25" s="4"/>
      <c r="F25" s="12">
        <f t="shared" ref="F25:F33" si="5">IF(D$12=0,0,D25/D$12)</f>
        <v>0</v>
      </c>
      <c r="G25" s="4"/>
      <c r="H25" s="4">
        <f>SUM(OSRRefH16x_0)</f>
        <v>15880</v>
      </c>
      <c r="I25" s="4"/>
      <c r="J25" s="12">
        <f t="shared" ref="J25:J33" si="6">IF(H$12=0,0,H25/H$12)</f>
        <v>0.50164265857973211</v>
      </c>
      <c r="K25" s="4"/>
      <c r="L25" s="4">
        <f t="shared" ref="L25:L33" si="7">+D25-H25</f>
        <v>-15867.24</v>
      </c>
      <c r="M25" s="4"/>
      <c r="N25" s="12">
        <f t="shared" ref="N25:N33" si="8">IF(H25=0,0,L25/H25)</f>
        <v>-0.99919647355163732</v>
      </c>
      <c r="O25" s="10"/>
      <c r="P25" s="4">
        <f>SUM(OSRRefP16x_0)</f>
        <v>13743.019999999993</v>
      </c>
      <c r="Q25" s="4"/>
      <c r="R25" s="12">
        <f t="shared" ref="R25:R33" si="9">IF(P$12=0,0,P25/P$12)</f>
        <v>0.64485133202451939</v>
      </c>
      <c r="S25" s="4"/>
      <c r="T25" s="4">
        <f>SUM(OSRRefT16x_0)</f>
        <v>53772</v>
      </c>
      <c r="U25" s="4"/>
      <c r="V25" s="12">
        <f t="shared" ref="V25:V33" si="10">IF(T$12=0,0,T25/T$12)</f>
        <v>0.50877093386318484</v>
      </c>
      <c r="W25" s="4"/>
      <c r="X25" s="4">
        <f t="shared" ref="X25:X33" si="11">+P25-T25</f>
        <v>-40028.98000000001</v>
      </c>
      <c r="Y25" s="4"/>
      <c r="Z25" s="12">
        <f t="shared" ref="Z25:Z33" si="12">IF(T25=0,0,X25/T25)</f>
        <v>-0.74442051625381256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15880</v>
      </c>
      <c r="I26" s="2"/>
      <c r="J26" s="22">
        <f t="shared" si="6"/>
        <v>0.50164265857973211</v>
      </c>
      <c r="K26" s="2"/>
      <c r="L26" s="2">
        <f t="shared" si="7"/>
        <v>-15880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53772</v>
      </c>
      <c r="U26" s="2"/>
      <c r="V26" s="22">
        <f t="shared" si="10"/>
        <v>0.50877093386318484</v>
      </c>
      <c r="W26" s="2"/>
      <c r="X26" s="2">
        <f t="shared" si="11"/>
        <v>-53772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0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/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0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12.76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12.76</v>
      </c>
      <c r="M33" s="2"/>
      <c r="N33" s="22">
        <f t="shared" si="8"/>
        <v>0</v>
      </c>
      <c r="O33" s="11"/>
      <c r="P33" s="2">
        <v>317.55</v>
      </c>
      <c r="Q33" s="2"/>
      <c r="R33" s="22">
        <f t="shared" si="9"/>
        <v>1.4900112237658551E-2</v>
      </c>
      <c r="S33" s="2"/>
      <c r="T33" s="2"/>
      <c r="U33" s="2"/>
      <c r="V33" s="22">
        <f t="shared" si="10"/>
        <v>0</v>
      </c>
      <c r="W33" s="2"/>
      <c r="X33" s="2">
        <f t="shared" si="11"/>
        <v>317.55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19">
        <f>D12-D25</f>
        <v>-12.76</v>
      </c>
      <c r="E35" s="13"/>
      <c r="F35" s="21">
        <f>IF(D$12=0,0,D35/D$12)</f>
        <v>0</v>
      </c>
      <c r="G35" s="13"/>
      <c r="H35" s="19">
        <f>H12-H25</f>
        <v>15776</v>
      </c>
      <c r="I35" s="13"/>
      <c r="J35" s="21">
        <f>IF(H$12=0,0,H35/H$12)</f>
        <v>0.49835734142026789</v>
      </c>
      <c r="K35" s="15"/>
      <c r="L35" s="19">
        <f>+D35-H35</f>
        <v>-15788.76</v>
      </c>
      <c r="M35" s="15"/>
      <c r="N35" s="21">
        <f>IF(H35=0,0,L35/H35)</f>
        <v>-1.0008088235294117</v>
      </c>
      <c r="O35" s="26"/>
      <c r="P35" s="19">
        <f>P12-P25</f>
        <v>7568.9000000000051</v>
      </c>
      <c r="Q35" s="13"/>
      <c r="R35" s="21">
        <f>IF(P$12=0,0,P35/P$12)</f>
        <v>0.35514866797548067</v>
      </c>
      <c r="S35" s="13"/>
      <c r="T35" s="19">
        <f>T12-T25</f>
        <v>51918</v>
      </c>
      <c r="U35" s="13"/>
      <c r="V35" s="21">
        <f>IF(T$12=0,0,T35/T$12)</f>
        <v>0.49122906613681522</v>
      </c>
      <c r="W35" s="15"/>
      <c r="X35" s="19">
        <f>+P35-T35</f>
        <v>-44349.099999999991</v>
      </c>
      <c r="Y35" s="15"/>
      <c r="Z35" s="21">
        <f>IF(T35=0,0,X35/T35)</f>
        <v>-0.85421433799452962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20">
        <f>SUM(OSRRefD22x_0)</f>
        <v>53</v>
      </c>
      <c r="E37" s="20"/>
      <c r="F37" s="33">
        <f t="shared" ref="F37:F46" si="13">IF(D$12=0,0,D37/D$12)</f>
        <v>0</v>
      </c>
      <c r="G37" s="20"/>
      <c r="H37" s="20">
        <f>SUM(OSRRefH22x_0)</f>
        <v>18817.731480000002</v>
      </c>
      <c r="I37" s="20"/>
      <c r="J37" s="33">
        <f t="shared" ref="J37:J46" si="14">IF(H$12=0,0,H37/H$12)</f>
        <v>0.59444438589840798</v>
      </c>
      <c r="K37" s="4"/>
      <c r="L37" s="20">
        <f t="shared" ref="L37:L46" si="15">+D37-H37</f>
        <v>-18764.731480000002</v>
      </c>
      <c r="M37" s="4"/>
      <c r="N37" s="33">
        <f t="shared" ref="N37:N46" si="16">IF(H37=0,0,L37/H37)</f>
        <v>-0.99718350747770368</v>
      </c>
      <c r="O37" s="10"/>
      <c r="P37" s="20">
        <f>SUM(OSRRefP22x_0)</f>
        <v>12533.749999999996</v>
      </c>
      <c r="Q37" s="20"/>
      <c r="R37" s="33">
        <f t="shared" ref="R37:R46" si="17">IF(P$12=0,0,P37/P$12)</f>
        <v>0.58810984650843268</v>
      </c>
      <c r="S37" s="20"/>
      <c r="T37" s="20">
        <f>SUM(OSRRefT22x_0)</f>
        <v>97269.723553999997</v>
      </c>
      <c r="U37" s="20"/>
      <c r="V37" s="33">
        <f t="shared" ref="V37:V46" si="18">IF(T$12=0,0,T37/T$12)</f>
        <v>0.92033043385372315</v>
      </c>
      <c r="W37" s="4"/>
      <c r="X37" s="20">
        <f t="shared" ref="X37:X46" si="19">+P37-T37</f>
        <v>-84735.973553999997</v>
      </c>
      <c r="Y37" s="4"/>
      <c r="Z37" s="33">
        <f t="shared" ref="Z37:Z46" si="20">IF(T37=0,0,X37/T37)</f>
        <v>-0.8711443855081813</v>
      </c>
    </row>
    <row r="38" spans="1:26" s="28" customFormat="1" outlineLevel="1" collapsed="1" x14ac:dyDescent="0.25">
      <c r="A38" s="29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2298.17148</v>
      </c>
      <c r="I38" s="1"/>
      <c r="J38" s="5">
        <f t="shared" si="14"/>
        <v>7.2598290371493554E-2</v>
      </c>
      <c r="K38" s="1"/>
      <c r="L38" s="1">
        <f t="shared" si="15"/>
        <v>-2298.17148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15942.383554</v>
      </c>
      <c r="U38" s="1"/>
      <c r="V38" s="5">
        <f t="shared" si="18"/>
        <v>0.15084098357460499</v>
      </c>
      <c r="W38" s="1"/>
      <c r="X38" s="1">
        <f t="shared" si="19"/>
        <v>-15164.183553999999</v>
      </c>
      <c r="Y38" s="1"/>
      <c r="Z38" s="5">
        <f t="shared" si="20"/>
        <v>-0.95118672202534305</v>
      </c>
    </row>
    <row r="39" spans="1:26" s="24" customFormat="1" hidden="1" outlineLevel="2" x14ac:dyDescent="0.25">
      <c r="A39" s="27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547.86296400000003</v>
      </c>
      <c r="I39" s="2"/>
      <c r="J39" s="6">
        <f t="shared" si="14"/>
        <v>1.7306765352539805E-2</v>
      </c>
      <c r="K39" s="2"/>
      <c r="L39" s="7">
        <f t="shared" si="15"/>
        <v>-547.86296400000003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3511.6555800000001</v>
      </c>
      <c r="U39" s="2"/>
      <c r="V39" s="6">
        <f t="shared" si="18"/>
        <v>3.322599659381209E-2</v>
      </c>
      <c r="W39" s="2"/>
      <c r="X39" s="7">
        <f t="shared" si="19"/>
        <v>-3027.04558</v>
      </c>
      <c r="Y39" s="2"/>
      <c r="Z39" s="6">
        <f t="shared" si="20"/>
        <v>-0.86199956431945979</v>
      </c>
    </row>
    <row r="40" spans="1:26" s="24" customFormat="1" hidden="1" outlineLevel="2" x14ac:dyDescent="0.25">
      <c r="A40" s="27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233.27686</v>
      </c>
      <c r="I40" s="2"/>
      <c r="J40" s="6">
        <f t="shared" si="14"/>
        <v>7.3691199140763202E-3</v>
      </c>
      <c r="K40" s="2"/>
      <c r="L40" s="7">
        <f t="shared" si="15"/>
        <v>-233.27686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1177.4572900000001</v>
      </c>
      <c r="U40" s="2"/>
      <c r="V40" s="6">
        <f t="shared" si="18"/>
        <v>1.1140668842842275E-2</v>
      </c>
      <c r="W40" s="2"/>
      <c r="X40" s="7">
        <f t="shared" si="19"/>
        <v>-921.88729000000012</v>
      </c>
      <c r="Y40" s="2"/>
      <c r="Z40" s="6">
        <f t="shared" si="20"/>
        <v>-0.78294754113756437</v>
      </c>
    </row>
    <row r="41" spans="1:26" s="24" customFormat="1" hidden="1" outlineLevel="2" x14ac:dyDescent="0.25">
      <c r="A41" s="27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2.1007076067728076E-2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5320</v>
      </c>
      <c r="U41" s="2"/>
      <c r="V41" s="6">
        <f t="shared" si="18"/>
        <v>5.0335887974264359E-2</v>
      </c>
      <c r="W41" s="2"/>
      <c r="X41" s="7">
        <f t="shared" si="19"/>
        <v>-5320</v>
      </c>
      <c r="Y41" s="2"/>
      <c r="Z41" s="6">
        <f t="shared" si="20"/>
        <v>-1</v>
      </c>
    </row>
    <row r="42" spans="1:26" s="24" customFormat="1" hidden="1" outlineLevel="2" x14ac:dyDescent="0.25">
      <c r="A42" s="27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32.784855999999998</v>
      </c>
      <c r="I42" s="2"/>
      <c r="J42" s="6">
        <f t="shared" si="14"/>
        <v>1.0356600960323478E-3</v>
      </c>
      <c r="K42" s="2"/>
      <c r="L42" s="7">
        <f t="shared" si="15"/>
        <v>-32.784855999999998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165.48048399999999</v>
      </c>
      <c r="U42" s="2"/>
      <c r="V42" s="6">
        <f t="shared" si="18"/>
        <v>1.5657156211562114E-3</v>
      </c>
      <c r="W42" s="2"/>
      <c r="X42" s="7">
        <f t="shared" si="19"/>
        <v>-127.46048399999998</v>
      </c>
      <c r="Y42" s="2"/>
      <c r="Z42" s="6">
        <f t="shared" si="20"/>
        <v>-0.77024481025810865</v>
      </c>
    </row>
    <row r="43" spans="1:26" s="24" customFormat="1" hidden="1" outlineLevel="2" x14ac:dyDescent="0.25">
      <c r="A43" s="27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1.1301491028556987E-2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3130.4</v>
      </c>
      <c r="U43" s="2"/>
      <c r="V43" s="6">
        <f t="shared" si="18"/>
        <v>2.961869618696187E-2</v>
      </c>
      <c r="W43" s="2"/>
      <c r="X43" s="7">
        <f t="shared" si="19"/>
        <v>-3130.4</v>
      </c>
      <c r="Y43" s="2"/>
      <c r="Z43" s="6">
        <f t="shared" si="20"/>
        <v>-1</v>
      </c>
    </row>
    <row r="44" spans="1:26" s="24" customFormat="1" hidden="1" outlineLevel="2" x14ac:dyDescent="0.25">
      <c r="A44" s="27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7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3.9423805913570888E-3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1092</v>
      </c>
      <c r="U45" s="2"/>
      <c r="V45" s="6">
        <f t="shared" si="18"/>
        <v>1.0332103321033211E-2</v>
      </c>
      <c r="W45" s="2"/>
      <c r="X45" s="7">
        <f t="shared" si="19"/>
        <v>-1092</v>
      </c>
      <c r="Y45" s="2"/>
      <c r="Z45" s="6">
        <f t="shared" si="20"/>
        <v>-1</v>
      </c>
    </row>
    <row r="46" spans="1:26" s="24" customFormat="1" hidden="1" outlineLevel="2" x14ac:dyDescent="0.25">
      <c r="A46" s="27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336.68680000000001</v>
      </c>
      <c r="I46" s="2"/>
      <c r="J46" s="6">
        <f t="shared" si="14"/>
        <v>1.0635797321202931E-2</v>
      </c>
      <c r="K46" s="2"/>
      <c r="L46" s="7">
        <f t="shared" si="15"/>
        <v>-336.68680000000001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1545.3902</v>
      </c>
      <c r="U46" s="2"/>
      <c r="V46" s="6">
        <f t="shared" si="18"/>
        <v>1.4621915034534961E-2</v>
      </c>
      <c r="W46" s="2"/>
      <c r="X46" s="7">
        <f t="shared" si="19"/>
        <v>-1545.3902</v>
      </c>
      <c r="Y46" s="2"/>
      <c r="Z46" s="6">
        <f t="shared" si="20"/>
        <v>-1</v>
      </c>
    </row>
    <row r="47" spans="1:26" s="28" customFormat="1" outlineLevel="1" collapsed="1" x14ac:dyDescent="0.25">
      <c r="A47" s="29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12401.56</v>
      </c>
      <c r="I47" s="1"/>
      <c r="J47" s="5">
        <f t="shared" ref="J47:J57" si="22">IF(H$12=0,0,H47/H$12)</f>
        <v>0.39176017184735912</v>
      </c>
      <c r="K47" s="1"/>
      <c r="L47" s="1">
        <f t="shared" ref="L47:L57" si="23">+D47-H47</f>
        <v>-12401.56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61826.34</v>
      </c>
      <c r="U47" s="1"/>
      <c r="V47" s="5">
        <f t="shared" ref="V47:V57" si="26">IF(T$12=0,0,T47/T$12)</f>
        <v>0.58497814362759004</v>
      </c>
      <c r="W47" s="1"/>
      <c r="X47" s="1">
        <f t="shared" ref="X47:X57" si="27">+P47-T47</f>
        <v>-53673.799999999996</v>
      </c>
      <c r="Y47" s="1"/>
      <c r="Z47" s="5">
        <f t="shared" ref="Z47:Z57" si="28">IF(T47=0,0,X47/T47)</f>
        <v>-0.86813807836595214</v>
      </c>
    </row>
    <row r="48" spans="1:26" s="24" customFormat="1" hidden="1" outlineLevel="2" x14ac:dyDescent="0.25">
      <c r="A48" s="27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0.12484205205964115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34580</v>
      </c>
      <c r="U48" s="2"/>
      <c r="V48" s="6">
        <f t="shared" si="26"/>
        <v>0.32718327183271834</v>
      </c>
      <c r="W48" s="2"/>
      <c r="X48" s="7">
        <f t="shared" si="27"/>
        <v>-34580</v>
      </c>
      <c r="Y48" s="2"/>
      <c r="Z48" s="6">
        <f t="shared" si="28"/>
        <v>-1</v>
      </c>
    </row>
    <row r="49" spans="1:26" s="24" customFormat="1" hidden="1" outlineLevel="2" x14ac:dyDescent="0.25">
      <c r="A49" s="27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7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7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2998.8</v>
      </c>
      <c r="I51" s="2"/>
      <c r="J51" s="6">
        <f t="shared" si="22"/>
        <v>9.4730856709628511E-2</v>
      </c>
      <c r="K51" s="2"/>
      <c r="L51" s="7">
        <f t="shared" si="23"/>
        <v>-2998.8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9486</v>
      </c>
      <c r="U51" s="2"/>
      <c r="V51" s="6">
        <f t="shared" si="26"/>
        <v>8.9753051376667614E-2</v>
      </c>
      <c r="W51" s="2"/>
      <c r="X51" s="7">
        <f t="shared" si="27"/>
        <v>-9486</v>
      </c>
      <c r="Y51" s="2"/>
      <c r="Z51" s="6">
        <f t="shared" si="28"/>
        <v>-1</v>
      </c>
    </row>
    <row r="52" spans="1:26" s="24" customFormat="1" hidden="1" outlineLevel="2" x14ac:dyDescent="0.25">
      <c r="A52" s="27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2744</v>
      </c>
      <c r="I52" s="2"/>
      <c r="J52" s="6">
        <f t="shared" si="22"/>
        <v>8.6681829668941113E-2</v>
      </c>
      <c r="K52" s="2"/>
      <c r="L52" s="7">
        <f t="shared" si="23"/>
        <v>-2744</v>
      </c>
      <c r="M52" s="2"/>
      <c r="N52" s="6">
        <f t="shared" si="24"/>
        <v>-1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5138</v>
      </c>
      <c r="U52" s="2"/>
      <c r="V52" s="6">
        <f t="shared" si="26"/>
        <v>4.8613870754092153E-2</v>
      </c>
      <c r="W52" s="2"/>
      <c r="X52" s="7">
        <f t="shared" si="27"/>
        <v>241.1899999999996</v>
      </c>
      <c r="Y52" s="2"/>
      <c r="Z52" s="6">
        <f t="shared" si="28"/>
        <v>4.6942390035033012E-2</v>
      </c>
    </row>
    <row r="53" spans="1:26" s="24" customFormat="1" hidden="1" outlineLevel="2" x14ac:dyDescent="0.25">
      <c r="A53" s="27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7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7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2706.76</v>
      </c>
      <c r="I55" s="2"/>
      <c r="J55" s="6">
        <f t="shared" si="22"/>
        <v>8.5505433409148346E-2</v>
      </c>
      <c r="K55" s="2"/>
      <c r="L55" s="7">
        <f t="shared" si="23"/>
        <v>-2706.76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12622.34</v>
      </c>
      <c r="U55" s="2"/>
      <c r="V55" s="6">
        <f t="shared" si="26"/>
        <v>0.11942794966411202</v>
      </c>
      <c r="W55" s="2"/>
      <c r="X55" s="7">
        <f t="shared" si="27"/>
        <v>-12622.34</v>
      </c>
      <c r="Y55" s="2"/>
      <c r="Z55" s="6">
        <f t="shared" si="28"/>
        <v>-1</v>
      </c>
    </row>
    <row r="56" spans="1:26" s="24" customFormat="1" hidden="1" outlineLevel="2" x14ac:dyDescent="0.25">
      <c r="A56" s="27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7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25">
      <c r="A58" s="29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3.1589588071771544E-3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700</v>
      </c>
      <c r="U58" s="1"/>
      <c r="V58" s="5">
        <f t="shared" ref="V58:V66" si="34">IF(T$12=0,0,T58/T$12)</f>
        <v>6.6231431545084683E-3</v>
      </c>
      <c r="W58" s="1"/>
      <c r="X58" s="1">
        <f t="shared" ref="X58:X66" si="35">+P58-T58</f>
        <v>-575.28</v>
      </c>
      <c r="Y58" s="1"/>
      <c r="Z58" s="5">
        <f t="shared" ref="Z58:Z66" si="36">IF(T58=0,0,X58/T58)</f>
        <v>-0.82182857142857135</v>
      </c>
    </row>
    <row r="59" spans="1:26" s="24" customFormat="1" hidden="1" outlineLevel="2" x14ac:dyDescent="0.25">
      <c r="A59" s="27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3.1589588071771544E-3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700</v>
      </c>
      <c r="U59" s="2"/>
      <c r="V59" s="6">
        <f t="shared" si="34"/>
        <v>6.6231431545084683E-3</v>
      </c>
      <c r="W59" s="2"/>
      <c r="X59" s="7">
        <f t="shared" si="35"/>
        <v>-575.28</v>
      </c>
      <c r="Y59" s="2"/>
      <c r="Z59" s="6">
        <f t="shared" si="36"/>
        <v>-0.82182857142857135</v>
      </c>
    </row>
    <row r="60" spans="1:26" s="28" customFormat="1" outlineLevel="1" collapsed="1" x14ac:dyDescent="0.25">
      <c r="A60" s="29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7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25">
      <c r="A62" s="29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2180</v>
      </c>
      <c r="I62" s="1"/>
      <c r="J62" s="5">
        <f t="shared" si="30"/>
        <v>6.8865301996461972E-2</v>
      </c>
      <c r="K62" s="1"/>
      <c r="L62" s="1">
        <f t="shared" si="31"/>
        <v>-2180</v>
      </c>
      <c r="M62" s="1"/>
      <c r="N62" s="5">
        <f t="shared" si="32"/>
        <v>-1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6772</v>
      </c>
      <c r="U62" s="1"/>
      <c r="V62" s="5">
        <f t="shared" si="34"/>
        <v>6.40741792033305E-2</v>
      </c>
      <c r="W62" s="1"/>
      <c r="X62" s="1">
        <f t="shared" si="35"/>
        <v>-6772</v>
      </c>
      <c r="Y62" s="1"/>
      <c r="Z62" s="5">
        <f t="shared" si="36"/>
        <v>-1</v>
      </c>
    </row>
    <row r="63" spans="1:26" s="24" customFormat="1" hidden="1" outlineLevel="2" x14ac:dyDescent="0.25">
      <c r="A63" s="27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>
        <v>2180</v>
      </c>
      <c r="I63" s="2"/>
      <c r="J63" s="6">
        <f t="shared" si="30"/>
        <v>6.8865301996461972E-2</v>
      </c>
      <c r="K63" s="2"/>
      <c r="L63" s="7">
        <f t="shared" si="31"/>
        <v>-2180</v>
      </c>
      <c r="M63" s="2"/>
      <c r="N63" s="6">
        <f t="shared" si="32"/>
        <v>-1</v>
      </c>
      <c r="O63" s="11"/>
      <c r="P63" s="7"/>
      <c r="Q63" s="2"/>
      <c r="R63" s="6">
        <f t="shared" si="33"/>
        <v>0</v>
      </c>
      <c r="S63" s="2"/>
      <c r="T63" s="7">
        <v>6772</v>
      </c>
      <c r="U63" s="2"/>
      <c r="V63" s="6">
        <f t="shared" si="34"/>
        <v>6.40741792033305E-2</v>
      </c>
      <c r="W63" s="2"/>
      <c r="X63" s="7">
        <f t="shared" si="35"/>
        <v>-6772</v>
      </c>
      <c r="Y63" s="2"/>
      <c r="Z63" s="6">
        <f t="shared" si="36"/>
        <v>-1</v>
      </c>
    </row>
    <row r="64" spans="1:26" s="28" customFormat="1" outlineLevel="1" collapsed="1" x14ac:dyDescent="0.25">
      <c r="A64" s="29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696</v>
      </c>
      <c r="I64" s="1"/>
      <c r="J64" s="5">
        <f t="shared" si="30"/>
        <v>2.1986353297952996E-2</v>
      </c>
      <c r="K64" s="1"/>
      <c r="L64" s="1">
        <f t="shared" si="31"/>
        <v>-696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2308</v>
      </c>
      <c r="U64" s="1"/>
      <c r="V64" s="5">
        <f t="shared" si="34"/>
        <v>2.1837449143722206E-2</v>
      </c>
      <c r="W64" s="1"/>
      <c r="X64" s="1">
        <f t="shared" si="35"/>
        <v>-2308</v>
      </c>
      <c r="Y64" s="1"/>
      <c r="Z64" s="5">
        <f t="shared" si="36"/>
        <v>-1</v>
      </c>
    </row>
    <row r="65" spans="1:26" s="24" customFormat="1" hidden="1" outlineLevel="2" x14ac:dyDescent="0.25">
      <c r="A65" s="27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696</v>
      </c>
      <c r="I65" s="2"/>
      <c r="J65" s="6">
        <f t="shared" si="30"/>
        <v>2.1986353297952996E-2</v>
      </c>
      <c r="K65" s="2"/>
      <c r="L65" s="7">
        <f t="shared" si="31"/>
        <v>-696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2308</v>
      </c>
      <c r="U65" s="2"/>
      <c r="V65" s="6">
        <f t="shared" si="34"/>
        <v>2.1837449143722206E-2</v>
      </c>
      <c r="W65" s="2"/>
      <c r="X65" s="7">
        <f t="shared" si="35"/>
        <v>-2308</v>
      </c>
      <c r="Y65" s="2"/>
      <c r="Z65" s="6">
        <f t="shared" si="36"/>
        <v>-1</v>
      </c>
    </row>
    <row r="66" spans="1:26" s="24" customFormat="1" hidden="1" outlineLevel="2" x14ac:dyDescent="0.25">
      <c r="A66" s="27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25">
      <c r="A67" s="29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368</v>
      </c>
      <c r="I67" s="1"/>
      <c r="J67" s="5">
        <f t="shared" ref="J67:J75" si="38">IF(H$12=0,0,H67/H$12)</f>
        <v>1.1624968410411928E-2</v>
      </c>
      <c r="K67" s="1"/>
      <c r="L67" s="1">
        <f t="shared" ref="L67:L75" si="39">+D67-H67</f>
        <v>-368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1983</v>
      </c>
      <c r="U67" s="1"/>
      <c r="V67" s="5">
        <f t="shared" ref="V67:V75" si="42">IF(T$12=0,0,T67/T$12)</f>
        <v>1.8762418393414703E-2</v>
      </c>
      <c r="W67" s="1"/>
      <c r="X67" s="1">
        <f t="shared" ref="X67:X75" si="43">+P67-T67</f>
        <v>-1983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7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368</v>
      </c>
      <c r="I68" s="2"/>
      <c r="J68" s="6">
        <f t="shared" si="38"/>
        <v>1.1624968410411928E-2</v>
      </c>
      <c r="K68" s="2"/>
      <c r="L68" s="7">
        <f t="shared" si="39"/>
        <v>-368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1983</v>
      </c>
      <c r="U68" s="2"/>
      <c r="V68" s="6">
        <f t="shared" si="42"/>
        <v>1.8762418393414703E-2</v>
      </c>
      <c r="W68" s="2"/>
      <c r="X68" s="7">
        <f t="shared" si="43"/>
        <v>-1983</v>
      </c>
      <c r="Y68" s="2"/>
      <c r="Z68" s="6">
        <f t="shared" si="44"/>
        <v>-1</v>
      </c>
    </row>
    <row r="69" spans="1:26" s="28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9.4616330778692394E-3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7"/>
      <c r="B70" s="11" t="str">
        <f>CONCATENATE("          ", "6279", " - ", "GENERAL EXPENSE")</f>
        <v xml:space="preserve">          6279 - GENERAL EXPENSE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9.4616330778692394E-3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25">
      <c r="A71" s="29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7.5693064622953925E-3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7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7.5693064622953925E-3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0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3.1589588071771544E-3</v>
      </c>
      <c r="K73" s="1"/>
      <c r="L73" s="1">
        <f t="shared" si="39"/>
        <v>-100</v>
      </c>
      <c r="M73" s="1"/>
      <c r="N73" s="5">
        <f t="shared" si="40"/>
        <v>-1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800</v>
      </c>
      <c r="U73" s="1"/>
      <c r="V73" s="5">
        <f t="shared" si="42"/>
        <v>7.5693064622953925E-3</v>
      </c>
      <c r="W73" s="1"/>
      <c r="X73" s="1">
        <f t="shared" si="43"/>
        <v>-599.18000000000006</v>
      </c>
      <c r="Y73" s="1"/>
      <c r="Z73" s="5">
        <f t="shared" si="44"/>
        <v>-0.74897500000000006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3.1589588071771544E-3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800</v>
      </c>
      <c r="U75" s="2"/>
      <c r="V75" s="6">
        <f t="shared" si="42"/>
        <v>7.5693064622953925E-3</v>
      </c>
      <c r="W75" s="2"/>
      <c r="X75" s="7">
        <f t="shared" si="43"/>
        <v>-800</v>
      </c>
      <c r="Y75" s="2"/>
      <c r="Z75" s="6">
        <f t="shared" si="44"/>
        <v>-1</v>
      </c>
    </row>
    <row r="76" spans="1:26" s="28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8.6555471316654038E-3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1918</v>
      </c>
      <c r="U76" s="1"/>
      <c r="V76" s="5">
        <f t="shared" ref="V76:V78" si="50">IF(T$12=0,0,T76/T$12)</f>
        <v>1.8147412243353204E-2</v>
      </c>
      <c r="W76" s="1"/>
      <c r="X76" s="1">
        <f t="shared" ref="X76:X78" si="51">+P76-T76</f>
        <v>-1899.5</v>
      </c>
      <c r="Y76" s="1"/>
      <c r="Z76" s="5">
        <f t="shared" ref="Z76:Z78" si="52">IF(T76=0,0,X76/T76)</f>
        <v>-0.99035453597497392</v>
      </c>
    </row>
    <row r="77" spans="1:26" s="24" customFormat="1" hidden="1" outlineLevel="2" x14ac:dyDescent="0.25">
      <c r="A77" s="27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7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8.6555471316654038E-3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1918</v>
      </c>
      <c r="U78" s="2"/>
      <c r="V78" s="6">
        <f t="shared" si="50"/>
        <v>1.8147412243353204E-2</v>
      </c>
      <c r="W78" s="2"/>
      <c r="X78" s="7">
        <f t="shared" si="51"/>
        <v>-2075.5</v>
      </c>
      <c r="Y78" s="2"/>
      <c r="Z78" s="6">
        <f t="shared" si="52"/>
        <v>-1.082116788321168</v>
      </c>
    </row>
    <row r="79" spans="1:26" s="28" customFormat="1" outlineLevel="1" collapsed="1" x14ac:dyDescent="0.25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9.4768764215314629E-3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2300</v>
      </c>
      <c r="U79" s="1"/>
      <c r="V79" s="5">
        <f t="shared" ref="V79:V83" si="58">IF(T$12=0,0,T79/T$12)</f>
        <v>2.1761756079099252E-2</v>
      </c>
      <c r="W79" s="1"/>
      <c r="X79" s="1">
        <f t="shared" ref="X79:X83" si="59">+P79-T79</f>
        <v>-407.73</v>
      </c>
      <c r="Y79" s="1"/>
      <c r="Z79" s="5">
        <f t="shared" ref="Z79:Z83" si="60">IF(T79=0,0,X79/T79)</f>
        <v>-0.17727391304347828</v>
      </c>
    </row>
    <row r="80" spans="1:26" s="24" customFormat="1" hidden="1" outlineLevel="2" x14ac:dyDescent="0.25">
      <c r="A80" s="27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6.3179176143543089E-3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1400</v>
      </c>
      <c r="U80" s="2"/>
      <c r="V80" s="6">
        <f t="shared" si="58"/>
        <v>1.3246286309016937E-2</v>
      </c>
      <c r="W80" s="2"/>
      <c r="X80" s="7">
        <f t="shared" si="59"/>
        <v>-955.7</v>
      </c>
      <c r="Y80" s="2"/>
      <c r="Z80" s="6">
        <f t="shared" si="60"/>
        <v>-0.68264285714285722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3.1589588071771544E-3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700</v>
      </c>
      <c r="U82" s="2"/>
      <c r="V82" s="6">
        <f t="shared" si="58"/>
        <v>6.6231431545084683E-3</v>
      </c>
      <c r="W82" s="2"/>
      <c r="X82" s="7">
        <f t="shared" si="59"/>
        <v>522.73</v>
      </c>
      <c r="Y82" s="2"/>
      <c r="Z82" s="6">
        <f t="shared" si="60"/>
        <v>0.7467571428571429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200</v>
      </c>
      <c r="U83" s="2"/>
      <c r="V83" s="6">
        <f t="shared" si="58"/>
        <v>1.8923266155738481E-3</v>
      </c>
      <c r="W83" s="2"/>
      <c r="X83" s="7">
        <f t="shared" si="59"/>
        <v>-200</v>
      </c>
      <c r="Y83" s="2"/>
      <c r="Z83" s="6">
        <f t="shared" si="60"/>
        <v>-1</v>
      </c>
    </row>
    <row r="84" spans="1:26" s="28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3.1589588071771544E-3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472.05</v>
      </c>
      <c r="Q84" s="1"/>
      <c r="R84" s="5">
        <f t="shared" ref="R84:R86" si="65">IF(P$12=0,0,P84/P$12)</f>
        <v>2.2149576387298753E-2</v>
      </c>
      <c r="S84" s="1"/>
      <c r="T84" s="1">
        <f>SUM(OSRRefT22_12x_0)</f>
        <v>800</v>
      </c>
      <c r="U84" s="1"/>
      <c r="V84" s="5">
        <f t="shared" ref="V84:V86" si="66">IF(T$12=0,0,T84/T$12)</f>
        <v>7.5693064622953925E-3</v>
      </c>
      <c r="W84" s="1"/>
      <c r="X84" s="1">
        <f t="shared" ref="X84:X86" si="67">+P84-T84</f>
        <v>-327.95</v>
      </c>
      <c r="Y84" s="1"/>
      <c r="Z84" s="5">
        <f t="shared" ref="Z84:Z86" si="68">IF(T84=0,0,X84/T84)</f>
        <v>-0.40993750000000001</v>
      </c>
    </row>
    <row r="85" spans="1:26" s="24" customFormat="1" hidden="1" outlineLevel="2" x14ac:dyDescent="0.25">
      <c r="A85" s="27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3.1589588071771544E-3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800</v>
      </c>
      <c r="U85" s="2"/>
      <c r="V85" s="6">
        <f t="shared" si="66"/>
        <v>7.5693064622953925E-3</v>
      </c>
      <c r="W85" s="2"/>
      <c r="X85" s="7">
        <f t="shared" si="67"/>
        <v>-800</v>
      </c>
      <c r="Y85" s="2"/>
      <c r="Z85" s="6">
        <f t="shared" si="68"/>
        <v>-1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472.05</v>
      </c>
      <c r="Q86" s="2"/>
      <c r="R86" s="6">
        <f t="shared" si="65"/>
        <v>2.2149576387298753E-2</v>
      </c>
      <c r="S86" s="2"/>
      <c r="T86" s="7"/>
      <c r="U86" s="2"/>
      <c r="V86" s="6">
        <f t="shared" si="66"/>
        <v>0</v>
      </c>
      <c r="W86" s="2"/>
      <c r="X86" s="7">
        <f t="shared" si="67"/>
        <v>472.05</v>
      </c>
      <c r="Y86" s="2"/>
      <c r="Z86" s="6">
        <f t="shared" si="68"/>
        <v>0</v>
      </c>
    </row>
    <row r="87" spans="1:26" s="28" customFormat="1" outlineLevel="1" collapsed="1" x14ac:dyDescent="0.25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120</v>
      </c>
      <c r="U87" s="1"/>
      <c r="V87" s="5">
        <f t="shared" ref="V87:V88" si="74">IF(T$12=0,0,T87/T$12)</f>
        <v>1.1353959693443088E-3</v>
      </c>
      <c r="W87" s="1"/>
      <c r="X87" s="1">
        <f t="shared" ref="X87:X88" si="75">+P87-T87</f>
        <v>-106</v>
      </c>
      <c r="Y87" s="1"/>
      <c r="Z87" s="5">
        <f t="shared" ref="Z87:Z88" si="76">IF(T87=0,0,X87/T87)</f>
        <v>-0.8833333333333333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120</v>
      </c>
      <c r="U88" s="2"/>
      <c r="V88" s="6">
        <f t="shared" si="74"/>
        <v>1.1353959693443088E-3</v>
      </c>
      <c r="W88" s="2"/>
      <c r="X88" s="7">
        <f t="shared" si="75"/>
        <v>-106</v>
      </c>
      <c r="Y88" s="2"/>
      <c r="Z88" s="6">
        <f t="shared" si="76"/>
        <v>-0.8833333333333333</v>
      </c>
    </row>
    <row r="89" spans="1:26" s="58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19">
        <f>+D35-D37+D90</f>
        <v>-65.760000000000005</v>
      </c>
      <c r="E92" s="13"/>
      <c r="F92" s="21">
        <f>IF(D$12=0,0,D92/D$12)</f>
        <v>0</v>
      </c>
      <c r="G92" s="13"/>
      <c r="H92" s="19">
        <f>+H35-H37+H90</f>
        <v>-3041.7314800000022</v>
      </c>
      <c r="I92" s="13"/>
      <c r="J92" s="21">
        <f>IF(H$12=0,0,H92/H$12)</f>
        <v>-9.608704447814008E-2</v>
      </c>
      <c r="K92" s="15"/>
      <c r="L92" s="19">
        <f>+D92-H92</f>
        <v>2975.971480000002</v>
      </c>
      <c r="M92" s="15"/>
      <c r="N92" s="21">
        <f>IF(H92=0,0,L92/H92)</f>
        <v>-0.97838073464657038</v>
      </c>
      <c r="O92" s="26"/>
      <c r="P92" s="19">
        <f>+P35-P37+P90</f>
        <v>-4964.8499999999913</v>
      </c>
      <c r="Q92" s="13"/>
      <c r="R92" s="21">
        <f>IF(P$12=0,0,P92/P$12)</f>
        <v>-0.23296117853295206</v>
      </c>
      <c r="S92" s="13"/>
      <c r="T92" s="19">
        <f>+T35-T37+T90</f>
        <v>-45351.723553999997</v>
      </c>
      <c r="U92" s="13"/>
      <c r="V92" s="21">
        <f>IF(T$12=0,0,T92/T$12)</f>
        <v>-0.42910136771690788</v>
      </c>
      <c r="W92" s="15"/>
      <c r="X92" s="19">
        <f>+P92-T92</f>
        <v>40386.873554000005</v>
      </c>
      <c r="Y92" s="15"/>
      <c r="Z92" s="21">
        <f>IF(T92=0,0,X92/T92)</f>
        <v>-0.89052566008680178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351.84</v>
      </c>
      <c r="E94" s="4"/>
      <c r="F94" s="12">
        <f>IF(D$12=0,0,D94/D$12)</f>
        <v>0</v>
      </c>
      <c r="G94" s="4"/>
      <c r="H94" s="4">
        <v>4013</v>
      </c>
      <c r="I94" s="4"/>
      <c r="J94" s="12">
        <f>IF(H$12=0,0,H94/H$12)</f>
        <v>0.1267690169320192</v>
      </c>
      <c r="K94" s="4"/>
      <c r="L94" s="4">
        <f>+D94-H94</f>
        <v>-3661.16</v>
      </c>
      <c r="M94" s="4"/>
      <c r="N94" s="12">
        <f>IF(H94=0,0,L94/H94)</f>
        <v>-0.9123249439322203</v>
      </c>
      <c r="O94" s="10"/>
      <c r="P94" s="4">
        <v>4220.5200000000004</v>
      </c>
      <c r="Q94" s="4"/>
      <c r="R94" s="12">
        <f>IF(P$12=0,0,P94/P$12)</f>
        <v>0.19803565328698686</v>
      </c>
      <c r="S94" s="4"/>
      <c r="T94" s="4">
        <v>22354</v>
      </c>
      <c r="U94" s="4"/>
      <c r="V94" s="12">
        <f>IF(T$12=0,0,T94/T$12)</f>
        <v>0.21150534582268898</v>
      </c>
      <c r="W94" s="4"/>
      <c r="X94" s="4">
        <f>+P94-T94</f>
        <v>-18133.48</v>
      </c>
      <c r="Y94" s="4"/>
      <c r="Z94" s="12">
        <f>IF(T94=0,0,X94/T94)</f>
        <v>-0.81119620649548174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4">
        <f>+D92-D94</f>
        <v>-417.59999999999997</v>
      </c>
      <c r="E96" s="13"/>
      <c r="F96" s="30">
        <f>IF(D$12=0,0,D96/D$12)</f>
        <v>0</v>
      </c>
      <c r="G96" s="13"/>
      <c r="H96" s="34">
        <f>+H92-H94</f>
        <v>-7054.7314800000022</v>
      </c>
      <c r="I96" s="13"/>
      <c r="J96" s="30">
        <f>IF(H$12=0,0,H96/H$12)</f>
        <v>-0.22285606141015929</v>
      </c>
      <c r="K96" s="15"/>
      <c r="L96" s="34">
        <f>D96-H96</f>
        <v>6637.1314800000018</v>
      </c>
      <c r="M96" s="15"/>
      <c r="N96" s="30">
        <f>IF(H96=0,0,L96/H96)</f>
        <v>-0.94080568464102621</v>
      </c>
      <c r="O96" s="26"/>
      <c r="P96" s="34">
        <f>+P92-P94</f>
        <v>-9185.3699999999917</v>
      </c>
      <c r="Q96" s="13"/>
      <c r="R96" s="30">
        <f>IF(P$12=0,0,P96/P$12)</f>
        <v>-0.43099683181993892</v>
      </c>
      <c r="S96" s="13"/>
      <c r="T96" s="34">
        <f>+T92-T94</f>
        <v>-67705.723553999997</v>
      </c>
      <c r="U96" s="13"/>
      <c r="V96" s="30">
        <f>IF(T$12=0,0,T96/T$12)</f>
        <v>-0.64060671353959686</v>
      </c>
      <c r="W96" s="15"/>
      <c r="X96" s="34">
        <f>P96-T96</f>
        <v>58520.353554000001</v>
      </c>
      <c r="Y96" s="15"/>
      <c r="Z96" s="30">
        <f>IF(T96=0,0,X96/T96)</f>
        <v>-0.86433392159713018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5">
        <f>SUM(D96:D98)</f>
        <v>-417.59999999999997</v>
      </c>
      <c r="E99" s="13"/>
      <c r="F99" s="31">
        <f>IF(D$12=0,0,D99/D$12)</f>
        <v>0</v>
      </c>
      <c r="G99" s="13"/>
      <c r="H99" s="35">
        <f>SUM(H96:H98)</f>
        <v>-7054.7314800000022</v>
      </c>
      <c r="I99" s="13"/>
      <c r="J99" s="31">
        <f>IF(H$12=0,0,H99/H$12)</f>
        <v>-0.22285606141015929</v>
      </c>
      <c r="K99" s="15"/>
      <c r="L99" s="35">
        <f>+D99-H99</f>
        <v>6637.1314800000018</v>
      </c>
      <c r="M99" s="15"/>
      <c r="N99" s="31">
        <f>IF(H99=0,0,L99/H99)</f>
        <v>-0.94080568464102621</v>
      </c>
      <c r="O99" s="26"/>
      <c r="P99" s="35">
        <f>SUM(P96:P98)</f>
        <v>-9185.3699999999917</v>
      </c>
      <c r="Q99" s="13"/>
      <c r="R99" s="31">
        <f>IF(P$12=0,0,P99/P$12)</f>
        <v>-0.43099683181993892</v>
      </c>
      <c r="S99" s="13"/>
      <c r="T99" s="35">
        <f>SUM(T96:T98)</f>
        <v>-67705.723553999997</v>
      </c>
      <c r="U99" s="13"/>
      <c r="V99" s="31">
        <f>IF(T$12=0,0,T99/T$12)</f>
        <v>-0.64060671353959686</v>
      </c>
      <c r="W99" s="15"/>
      <c r="X99" s="35">
        <f>+P99-T99</f>
        <v>58520.353554000001</v>
      </c>
      <c r="Y99" s="15"/>
      <c r="Z99" s="31">
        <f>IF(T99=0,0,X99/T99)</f>
        <v>-0.86433392159713018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3">
        <v>44267.671763541664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314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90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78083.129999999976</v>
      </c>
      <c r="E12" s="4"/>
      <c r="F12" s="12"/>
      <c r="G12" s="4"/>
      <c r="H12" s="4">
        <f>SUM(OSRRefH13x_0)</f>
        <v>183631</v>
      </c>
      <c r="I12" s="4"/>
      <c r="J12" s="12"/>
      <c r="K12" s="4"/>
      <c r="L12" s="4">
        <f t="shared" ref="L12:L34" si="0">+D12-H12</f>
        <v>-105547.87000000002</v>
      </c>
      <c r="M12" s="4"/>
      <c r="N12" s="12">
        <f t="shared" ref="N12:N34" si="1">IF(H12=0,0,L12/H12)</f>
        <v>-0.57478241691217724</v>
      </c>
      <c r="O12" s="10"/>
      <c r="P12" s="4">
        <f>SUM(OSRRefP13x_0)</f>
        <v>2638990.4499999997</v>
      </c>
      <c r="Q12" s="4"/>
      <c r="R12" s="12"/>
      <c r="S12" s="4"/>
      <c r="T12" s="4">
        <f>SUM(OSRRefT13x_0)</f>
        <v>4353132</v>
      </c>
      <c r="U12" s="4"/>
      <c r="V12" s="12"/>
      <c r="W12" s="4"/>
      <c r="X12" s="4">
        <f t="shared" ref="X12:X34" si="2">+P12-T12</f>
        <v>-1714141.5500000003</v>
      </c>
      <c r="Y12" s="4"/>
      <c r="Z12" s="12">
        <f t="shared" ref="Z12:Z34" si="3">IF(T12=0,0,X12/T12)</f>
        <v>-0.39377201288635405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-296.28</f>
        <v>-296.27999999999997</v>
      </c>
      <c r="E13" s="2"/>
      <c r="F13" s="22"/>
      <c r="G13" s="2"/>
      <c r="H13" s="2">
        <v>183631</v>
      </c>
      <c r="I13" s="2"/>
      <c r="J13" s="22"/>
      <c r="K13" s="2"/>
      <c r="L13" s="2">
        <f t="shared" si="0"/>
        <v>-183927.28</v>
      </c>
      <c r="M13" s="2"/>
      <c r="N13" s="22">
        <f t="shared" si="1"/>
        <v>-1.0016134530662033</v>
      </c>
      <c r="O13" s="11"/>
      <c r="P13" s="2">
        <f>-8057.31</f>
        <v>-8057.31</v>
      </c>
      <c r="Q13" s="2"/>
      <c r="R13" s="22"/>
      <c r="S13" s="2"/>
      <c r="T13" s="2">
        <v>4353132</v>
      </c>
      <c r="U13" s="2"/>
      <c r="V13" s="22"/>
      <c r="W13" s="2"/>
      <c r="X13" s="2">
        <f t="shared" si="2"/>
        <v>-4361189.3099999996</v>
      </c>
      <c r="Y13" s="2"/>
      <c r="Z13" s="22">
        <f t="shared" si="3"/>
        <v>-1.0018509225082077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--34627.67</f>
        <v>34627.67</v>
      </c>
      <c r="E14" s="2"/>
      <c r="F14" s="22"/>
      <c r="G14" s="2"/>
      <c r="H14" s="2"/>
      <c r="I14" s="2"/>
      <c r="J14" s="22"/>
      <c r="K14" s="2"/>
      <c r="L14" s="2">
        <f t="shared" si="0"/>
        <v>34627.67</v>
      </c>
      <c r="M14" s="2"/>
      <c r="N14" s="22">
        <f t="shared" si="1"/>
        <v>0</v>
      </c>
      <c r="O14" s="11"/>
      <c r="P14" s="2">
        <f>--1224724.01</f>
        <v>1224724.01</v>
      </c>
      <c r="Q14" s="2"/>
      <c r="R14" s="22"/>
      <c r="S14" s="2"/>
      <c r="T14" s="2"/>
      <c r="U14" s="2"/>
      <c r="V14" s="22"/>
      <c r="W14" s="2"/>
      <c r="X14" s="2">
        <f t="shared" si="2"/>
        <v>1224724.01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--12732.98</f>
        <v>12732.98</v>
      </c>
      <c r="E15" s="2"/>
      <c r="F15" s="22"/>
      <c r="G15" s="2"/>
      <c r="H15" s="2"/>
      <c r="I15" s="2"/>
      <c r="J15" s="22"/>
      <c r="K15" s="2"/>
      <c r="L15" s="2">
        <f t="shared" si="0"/>
        <v>12732.98</v>
      </c>
      <c r="M15" s="2"/>
      <c r="N15" s="22">
        <f t="shared" si="1"/>
        <v>0</v>
      </c>
      <c r="O15" s="11"/>
      <c r="P15" s="2">
        <f>--575134.48</f>
        <v>575134.48</v>
      </c>
      <c r="Q15" s="2"/>
      <c r="R15" s="22"/>
      <c r="S15" s="2"/>
      <c r="T15" s="2"/>
      <c r="U15" s="2"/>
      <c r="V15" s="22"/>
      <c r="W15" s="2"/>
      <c r="X15" s="2">
        <f t="shared" si="2"/>
        <v>575134.48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--5617.7</f>
        <v>5617.7</v>
      </c>
      <c r="E21" s="2"/>
      <c r="F21" s="22"/>
      <c r="G21" s="2"/>
      <c r="H21" s="2"/>
      <c r="I21" s="2"/>
      <c r="J21" s="22"/>
      <c r="K21" s="2"/>
      <c r="L21" s="2">
        <f t="shared" si="0"/>
        <v>5617.7</v>
      </c>
      <c r="M21" s="2"/>
      <c r="N21" s="22">
        <f t="shared" si="1"/>
        <v>0</v>
      </c>
      <c r="O21" s="11"/>
      <c r="P21" s="2">
        <f>--284173.56</f>
        <v>284173.56</v>
      </c>
      <c r="Q21" s="2"/>
      <c r="R21" s="22"/>
      <c r="S21" s="2"/>
      <c r="T21" s="2"/>
      <c r="U21" s="2"/>
      <c r="V21" s="22"/>
      <c r="W21" s="2"/>
      <c r="X21" s="2">
        <f t="shared" si="2"/>
        <v>284173.56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--6785.91</f>
        <v>6785.91</v>
      </c>
      <c r="E22" s="2"/>
      <c r="F22" s="22"/>
      <c r="G22" s="2"/>
      <c r="H22" s="2"/>
      <c r="I22" s="2"/>
      <c r="J22" s="22"/>
      <c r="K22" s="2"/>
      <c r="L22" s="2">
        <f t="shared" si="0"/>
        <v>6785.91</v>
      </c>
      <c r="M22" s="2"/>
      <c r="N22" s="22">
        <f t="shared" si="1"/>
        <v>0</v>
      </c>
      <c r="O22" s="11"/>
      <c r="P22" s="2">
        <f>--111011.54</f>
        <v>111011.54</v>
      </c>
      <c r="Q22" s="2"/>
      <c r="R22" s="22"/>
      <c r="S22" s="2"/>
      <c r="T22" s="2"/>
      <c r="U22" s="2"/>
      <c r="V22" s="22"/>
      <c r="W22" s="2"/>
      <c r="X22" s="2">
        <f t="shared" si="2"/>
        <v>111011.54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--3426.05</f>
        <v>3426.05</v>
      </c>
      <c r="E23" s="2"/>
      <c r="F23" s="22"/>
      <c r="G23" s="2"/>
      <c r="H23" s="2"/>
      <c r="I23" s="2"/>
      <c r="J23" s="22"/>
      <c r="K23" s="2"/>
      <c r="L23" s="2">
        <f t="shared" si="0"/>
        <v>3426.05</v>
      </c>
      <c r="M23" s="2"/>
      <c r="N23" s="22">
        <f t="shared" si="1"/>
        <v>0</v>
      </c>
      <c r="O23" s="11"/>
      <c r="P23" s="2">
        <f>--46387.37</f>
        <v>46387.37</v>
      </c>
      <c r="Q23" s="2"/>
      <c r="R23" s="22"/>
      <c r="S23" s="2"/>
      <c r="T23" s="2"/>
      <c r="U23" s="2"/>
      <c r="V23" s="22"/>
      <c r="W23" s="2"/>
      <c r="X23" s="2">
        <f t="shared" si="2"/>
        <v>46387.37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--1138.95</f>
        <v>1138.95</v>
      </c>
      <c r="Q24" s="2"/>
      <c r="R24" s="22"/>
      <c r="S24" s="2"/>
      <c r="T24" s="2"/>
      <c r="U24" s="2"/>
      <c r="V24" s="22"/>
      <c r="W24" s="2"/>
      <c r="X24" s="2">
        <f t="shared" si="2"/>
        <v>1138.95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--17705.92</f>
        <v>17705.919999999998</v>
      </c>
      <c r="E25" s="2"/>
      <c r="F25" s="22"/>
      <c r="G25" s="2"/>
      <c r="H25" s="2"/>
      <c r="I25" s="2"/>
      <c r="J25" s="22"/>
      <c r="K25" s="2"/>
      <c r="L25" s="2">
        <f t="shared" si="0"/>
        <v>17705.919999999998</v>
      </c>
      <c r="M25" s="2"/>
      <c r="N25" s="22">
        <f t="shared" si="1"/>
        <v>0</v>
      </c>
      <c r="O25" s="11"/>
      <c r="P25" s="2">
        <f>--475874.05</f>
        <v>475874.05</v>
      </c>
      <c r="Q25" s="2"/>
      <c r="R25" s="22"/>
      <c r="S25" s="2"/>
      <c r="T25" s="2"/>
      <c r="U25" s="2"/>
      <c r="V25" s="22"/>
      <c r="W25" s="2"/>
      <c r="X25" s="2">
        <f t="shared" si="2"/>
        <v>475874.05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--3150</f>
        <v>3150</v>
      </c>
      <c r="E26" s="2"/>
      <c r="F26" s="22"/>
      <c r="G26" s="2"/>
      <c r="H26" s="2"/>
      <c r="I26" s="2"/>
      <c r="J26" s="22"/>
      <c r="K26" s="2"/>
      <c r="L26" s="2">
        <f t="shared" si="0"/>
        <v>3150</v>
      </c>
      <c r="M26" s="2"/>
      <c r="N26" s="22">
        <f t="shared" si="1"/>
        <v>0</v>
      </c>
      <c r="O26" s="11"/>
      <c r="P26" s="2">
        <f>--10139.25</f>
        <v>10139.25</v>
      </c>
      <c r="Q26" s="2"/>
      <c r="R26" s="22"/>
      <c r="S26" s="2"/>
      <c r="T26" s="2"/>
      <c r="U26" s="2"/>
      <c r="V26" s="22"/>
      <c r="W26" s="2"/>
      <c r="X26" s="2">
        <f t="shared" si="2"/>
        <v>10139.25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--771.73</f>
        <v>771.73</v>
      </c>
      <c r="Q27" s="2"/>
      <c r="R27" s="22"/>
      <c r="S27" s="2"/>
      <c r="T27" s="2"/>
      <c r="U27" s="2"/>
      <c r="V27" s="22"/>
      <c r="W27" s="2"/>
      <c r="X27" s="2">
        <f t="shared" si="2"/>
        <v>771.73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-2146.49</f>
        <v>-2146.4899999999998</v>
      </c>
      <c r="E28" s="2"/>
      <c r="F28" s="22"/>
      <c r="G28" s="2"/>
      <c r="H28" s="2"/>
      <c r="I28" s="2"/>
      <c r="J28" s="22"/>
      <c r="K28" s="2"/>
      <c r="L28" s="2">
        <f t="shared" si="0"/>
        <v>-2146.4899999999998</v>
      </c>
      <c r="M28" s="2"/>
      <c r="N28" s="22">
        <f t="shared" si="1"/>
        <v>0</v>
      </c>
      <c r="O28" s="11"/>
      <c r="P28" s="2">
        <f>-50664.23</f>
        <v>-50664.23</v>
      </c>
      <c r="Q28" s="2"/>
      <c r="R28" s="22"/>
      <c r="S28" s="2"/>
      <c r="T28" s="2"/>
      <c r="U28" s="2"/>
      <c r="V28" s="22"/>
      <c r="W28" s="2"/>
      <c r="X28" s="2">
        <f t="shared" si="2"/>
        <v>-50664.23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-1199.21</f>
        <v>-1199.21</v>
      </c>
      <c r="E29" s="2"/>
      <c r="F29" s="22"/>
      <c r="G29" s="2"/>
      <c r="H29" s="2"/>
      <c r="I29" s="2"/>
      <c r="J29" s="22"/>
      <c r="K29" s="2"/>
      <c r="L29" s="2">
        <f t="shared" si="0"/>
        <v>-1199.21</v>
      </c>
      <c r="M29" s="2"/>
      <c r="N29" s="22">
        <f t="shared" si="1"/>
        <v>0</v>
      </c>
      <c r="O29" s="11"/>
      <c r="P29" s="2">
        <f>-19735.51</f>
        <v>-19735.509999999998</v>
      </c>
      <c r="Q29" s="2"/>
      <c r="R29" s="22"/>
      <c r="S29" s="2"/>
      <c r="T29" s="2"/>
      <c r="U29" s="2"/>
      <c r="V29" s="22"/>
      <c r="W29" s="2"/>
      <c r="X29" s="2">
        <f t="shared" si="2"/>
        <v>-19735.509999999998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-132.25</f>
        <v>-132.25</v>
      </c>
      <c r="E30" s="2"/>
      <c r="F30" s="22"/>
      <c r="G30" s="2"/>
      <c r="H30" s="2"/>
      <c r="I30" s="2"/>
      <c r="J30" s="22"/>
      <c r="K30" s="2"/>
      <c r="L30" s="2">
        <f t="shared" si="0"/>
        <v>-132.25</v>
      </c>
      <c r="M30" s="2"/>
      <c r="N30" s="22">
        <f t="shared" si="1"/>
        <v>0</v>
      </c>
      <c r="O30" s="11"/>
      <c r="P30" s="2">
        <f>-1763.1</f>
        <v>-1763.1</v>
      </c>
      <c r="Q30" s="2"/>
      <c r="R30" s="22"/>
      <c r="S30" s="2"/>
      <c r="T30" s="2"/>
      <c r="U30" s="2"/>
      <c r="V30" s="22"/>
      <c r="W30" s="2"/>
      <c r="X30" s="2">
        <f t="shared" si="2"/>
        <v>-1763.1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"4213", " - ", "NON-TAXABLE SALES-TRADE BOOKS")</f>
        <v xml:space="preserve">          4213 - NON-TAXABLE SALES-TRADE BOOKS</v>
      </c>
      <c r="C31" s="11"/>
      <c r="D31" s="2">
        <f>-69.93</f>
        <v>-69.930000000000007</v>
      </c>
      <c r="E31" s="2"/>
      <c r="F31" s="22"/>
      <c r="G31" s="2"/>
      <c r="H31" s="2"/>
      <c r="I31" s="2"/>
      <c r="J31" s="22"/>
      <c r="K31" s="2"/>
      <c r="L31" s="2">
        <f t="shared" si="0"/>
        <v>-69.930000000000007</v>
      </c>
      <c r="M31" s="2"/>
      <c r="N31" s="22">
        <f t="shared" si="1"/>
        <v>0</v>
      </c>
      <c r="O31" s="11"/>
      <c r="P31" s="2">
        <f>-69.93</f>
        <v>-69.930000000000007</v>
      </c>
      <c r="Q31" s="2"/>
      <c r="R31" s="22"/>
      <c r="S31" s="2"/>
      <c r="T31" s="2"/>
      <c r="U31" s="2"/>
      <c r="V31" s="22"/>
      <c r="W31" s="2"/>
      <c r="X31" s="2">
        <f t="shared" si="2"/>
        <v>-69.930000000000007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-231.5</f>
        <v>-231.5</v>
      </c>
      <c r="E32" s="2"/>
      <c r="F32" s="22"/>
      <c r="G32" s="2"/>
      <c r="H32" s="2"/>
      <c r="I32" s="2"/>
      <c r="J32" s="22"/>
      <c r="K32" s="2"/>
      <c r="L32" s="2">
        <f t="shared" si="0"/>
        <v>-231.5</v>
      </c>
      <c r="M32" s="2"/>
      <c r="N32" s="22">
        <f t="shared" si="1"/>
        <v>0</v>
      </c>
      <c r="O32" s="11"/>
      <c r="P32" s="2">
        <f>-3237.29</f>
        <v>-3237.29</v>
      </c>
      <c r="Q32" s="2"/>
      <c r="R32" s="22"/>
      <c r="S32" s="2"/>
      <c r="T32" s="2"/>
      <c r="U32" s="2"/>
      <c r="V32" s="22"/>
      <c r="W32" s="2"/>
      <c r="X32" s="2">
        <f t="shared" si="2"/>
        <v>-3237.29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-70.32</f>
        <v>-70.319999999999993</v>
      </c>
      <c r="E33" s="2"/>
      <c r="F33" s="22"/>
      <c r="G33" s="2"/>
      <c r="H33" s="2"/>
      <c r="I33" s="2"/>
      <c r="J33" s="22"/>
      <c r="K33" s="2"/>
      <c r="L33" s="2">
        <f t="shared" si="0"/>
        <v>-70.319999999999993</v>
      </c>
      <c r="M33" s="2"/>
      <c r="N33" s="22">
        <f t="shared" si="1"/>
        <v>0</v>
      </c>
      <c r="O33" s="11"/>
      <c r="P33" s="2">
        <f>-2073.48</f>
        <v>-2073.48</v>
      </c>
      <c r="Q33" s="2"/>
      <c r="R33" s="22"/>
      <c r="S33" s="2"/>
      <c r="T33" s="2"/>
      <c r="U33" s="2"/>
      <c r="V33" s="22"/>
      <c r="W33" s="2"/>
      <c r="X33" s="2">
        <f t="shared" si="2"/>
        <v>-2073.48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-2172.95</f>
        <v>-2172.9499999999998</v>
      </c>
      <c r="E34" s="2"/>
      <c r="F34" s="22"/>
      <c r="G34" s="2"/>
      <c r="H34" s="2"/>
      <c r="I34" s="2"/>
      <c r="J34" s="22"/>
      <c r="K34" s="2"/>
      <c r="L34" s="2">
        <f t="shared" si="0"/>
        <v>-2172.9499999999998</v>
      </c>
      <c r="M34" s="2"/>
      <c r="N34" s="22">
        <f t="shared" si="1"/>
        <v>0</v>
      </c>
      <c r="O34" s="11"/>
      <c r="P34" s="2">
        <f>-27268.72</f>
        <v>-27268.720000000001</v>
      </c>
      <c r="Q34" s="2"/>
      <c r="R34" s="22"/>
      <c r="S34" s="2"/>
      <c r="T34" s="2"/>
      <c r="U34" s="2"/>
      <c r="V34" s="22"/>
      <c r="W34" s="2"/>
      <c r="X34" s="2">
        <f t="shared" si="2"/>
        <v>-27268.720000000001</v>
      </c>
      <c r="Y34" s="2"/>
      <c r="Z34" s="22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6" t="s">
        <v>8</v>
      </c>
      <c r="C36" s="10"/>
      <c r="D36" s="4">
        <f>SUM(OSRRefD16x_0)</f>
        <v>53931.379999999983</v>
      </c>
      <c r="E36" s="4"/>
      <c r="F36" s="12">
        <f t="shared" ref="F36:F51" si="4">IF(D$12=0,0,D36/D$12)</f>
        <v>0.69069183061693351</v>
      </c>
      <c r="G36" s="4"/>
      <c r="H36" s="4">
        <f>SUM(OSRRefH16x_0)</f>
        <v>133778</v>
      </c>
      <c r="I36" s="4"/>
      <c r="J36" s="12">
        <f t="shared" ref="J36:J51" si="5">IF(H$12=0,0,H36/H$12)</f>
        <v>0.72851533782422362</v>
      </c>
      <c r="K36" s="4"/>
      <c r="L36" s="4">
        <f t="shared" ref="L36:L51" si="6">+D36-H36</f>
        <v>-79846.620000000024</v>
      </c>
      <c r="M36" s="4"/>
      <c r="N36" s="12">
        <f t="shared" ref="N36:N51" si="7">IF(H36=0,0,L36/H36)</f>
        <v>-0.59685912481872971</v>
      </c>
      <c r="O36" s="10"/>
      <c r="P36" s="4">
        <f>SUM(OSRRefP16x_0)</f>
        <v>1863507.3499999999</v>
      </c>
      <c r="Q36" s="4"/>
      <c r="R36" s="12">
        <f t="shared" ref="R36:R51" si="8">IF(P$12=0,0,P36/P$12)</f>
        <v>0.70614402943367982</v>
      </c>
      <c r="S36" s="4"/>
      <c r="T36" s="4">
        <f>SUM(OSRRefT16x_0)</f>
        <v>3165941</v>
      </c>
      <c r="U36" s="4"/>
      <c r="V36" s="12">
        <f t="shared" ref="V36:V51" si="9">IF(T$12=0,0,T36/T$12)</f>
        <v>0.72727888793631801</v>
      </c>
      <c r="W36" s="4"/>
      <c r="X36" s="4">
        <f t="shared" ref="X36:X51" si="10">+P36-T36</f>
        <v>-1302433.6500000001</v>
      </c>
      <c r="Y36" s="4"/>
      <c r="Z36" s="12">
        <f t="shared" ref="Z36:Z51" si="11">IF(T36=0,0,X36/T36)</f>
        <v>-0.41138910990444866</v>
      </c>
    </row>
    <row r="37" spans="1:26" s="24" customFormat="1" hidden="1" outlineLevel="1" x14ac:dyDescent="0.25">
      <c r="A37" s="51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22">
        <f t="shared" si="4"/>
        <v>0</v>
      </c>
      <c r="G37" s="2"/>
      <c r="H37" s="2">
        <v>133778</v>
      </c>
      <c r="I37" s="2"/>
      <c r="J37" s="22">
        <f t="shared" si="5"/>
        <v>0.72851533782422362</v>
      </c>
      <c r="K37" s="2"/>
      <c r="L37" s="2">
        <f t="shared" si="6"/>
        <v>-133778</v>
      </c>
      <c r="M37" s="2"/>
      <c r="N37" s="22">
        <f t="shared" si="7"/>
        <v>-1</v>
      </c>
      <c r="O37" s="11"/>
      <c r="P37" s="2"/>
      <c r="Q37" s="2"/>
      <c r="R37" s="22">
        <f t="shared" si="8"/>
        <v>0</v>
      </c>
      <c r="S37" s="2"/>
      <c r="T37" s="2">
        <v>3165941</v>
      </c>
      <c r="U37" s="2"/>
      <c r="V37" s="22">
        <f t="shared" si="9"/>
        <v>0.72727888793631801</v>
      </c>
      <c r="W37" s="2"/>
      <c r="X37" s="2">
        <f t="shared" si="10"/>
        <v>-3165941</v>
      </c>
      <c r="Y37" s="2"/>
      <c r="Z37" s="22">
        <f t="shared" si="11"/>
        <v>-1</v>
      </c>
    </row>
    <row r="38" spans="1:26" s="24" customFormat="1" hidden="1" outlineLevel="1" x14ac:dyDescent="0.25">
      <c r="A38" s="51"/>
      <c r="B38" s="11" t="str">
        <f>CONCATENATE("          ", "5001", " - ", "PURCHASES @ COST-NEW TEXT")</f>
        <v xml:space="preserve">          5001 - PURCHASES @ COST-NEW TEXT</v>
      </c>
      <c r="C38" s="11"/>
      <c r="D38" s="2">
        <v>-332593.57</v>
      </c>
      <c r="E38" s="2"/>
      <c r="F38" s="22">
        <f t="shared" si="4"/>
        <v>-4.2594805049438991</v>
      </c>
      <c r="G38" s="2"/>
      <c r="H38" s="2"/>
      <c r="I38" s="2"/>
      <c r="J38" s="22">
        <f t="shared" si="5"/>
        <v>0</v>
      </c>
      <c r="K38" s="2"/>
      <c r="L38" s="2">
        <f t="shared" si="6"/>
        <v>-332593.57</v>
      </c>
      <c r="M38" s="2"/>
      <c r="N38" s="22">
        <f t="shared" si="7"/>
        <v>0</v>
      </c>
      <c r="O38" s="11"/>
      <c r="P38" s="2">
        <v>1326415.6399999999</v>
      </c>
      <c r="Q38" s="2"/>
      <c r="R38" s="22">
        <f t="shared" si="8"/>
        <v>0.50262237212718974</v>
      </c>
      <c r="S38" s="2"/>
      <c r="T38" s="2"/>
      <c r="U38" s="2"/>
      <c r="V38" s="22">
        <f t="shared" si="9"/>
        <v>0</v>
      </c>
      <c r="W38" s="2"/>
      <c r="X38" s="2">
        <f t="shared" si="10"/>
        <v>1326415.6399999999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"5002", " - ", "PURCHASES @ COST-USED TEXT")</f>
        <v xml:space="preserve">          5002 - PURCHASES @ COST-USED TEXT</v>
      </c>
      <c r="C39" s="11"/>
      <c r="D39" s="2">
        <v>121987.94000000002</v>
      </c>
      <c r="E39" s="2"/>
      <c r="F39" s="22">
        <f t="shared" si="4"/>
        <v>1.562282915656686</v>
      </c>
      <c r="G39" s="2"/>
      <c r="H39" s="2"/>
      <c r="I39" s="2"/>
      <c r="J39" s="22">
        <f t="shared" si="5"/>
        <v>0</v>
      </c>
      <c r="K39" s="2"/>
      <c r="L39" s="2">
        <f t="shared" si="6"/>
        <v>121987.94000000002</v>
      </c>
      <c r="M39" s="2"/>
      <c r="N39" s="22">
        <f t="shared" si="7"/>
        <v>0</v>
      </c>
      <c r="O39" s="11"/>
      <c r="P39" s="2">
        <v>382324.22000000003</v>
      </c>
      <c r="Q39" s="2"/>
      <c r="R39" s="22">
        <f t="shared" si="8"/>
        <v>0.14487518134065247</v>
      </c>
      <c r="S39" s="2"/>
      <c r="T39" s="2"/>
      <c r="U39" s="2"/>
      <c r="V39" s="22">
        <f t="shared" si="9"/>
        <v>0</v>
      </c>
      <c r="W39" s="2"/>
      <c r="X39" s="2">
        <f t="shared" si="10"/>
        <v>382324.22000000003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"5003", " - ", "PURCHASES @ COST-RENTAL TEXT")</f>
        <v xml:space="preserve">          5003 - PURCHASES @ COST-RENTAL TEXT</v>
      </c>
      <c r="C40" s="11"/>
      <c r="D40" s="2"/>
      <c r="E40" s="2"/>
      <c r="F40" s="22">
        <f t="shared" si="4"/>
        <v>0</v>
      </c>
      <c r="G40" s="2"/>
      <c r="H40" s="2"/>
      <c r="I40" s="2"/>
      <c r="J40" s="22">
        <f t="shared" si="5"/>
        <v>0</v>
      </c>
      <c r="K40" s="2"/>
      <c r="L40" s="2">
        <f t="shared" si="6"/>
        <v>0</v>
      </c>
      <c r="M40" s="2"/>
      <c r="N40" s="22">
        <f t="shared" si="7"/>
        <v>0</v>
      </c>
      <c r="O40" s="11"/>
      <c r="P40" s="2">
        <v>32.520000000000003</v>
      </c>
      <c r="Q40" s="2"/>
      <c r="R40" s="22">
        <f t="shared" si="8"/>
        <v>1.2322894158256619E-5</v>
      </c>
      <c r="S40" s="2"/>
      <c r="T40" s="2"/>
      <c r="U40" s="2"/>
      <c r="V40" s="22">
        <f t="shared" si="9"/>
        <v>0</v>
      </c>
      <c r="W40" s="2"/>
      <c r="X40" s="2">
        <f t="shared" si="10"/>
        <v>32.520000000000003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3282.02</v>
      </c>
      <c r="E41" s="2"/>
      <c r="F41" s="22">
        <f t="shared" si="4"/>
        <v>4.2032382667037051E-2</v>
      </c>
      <c r="G41" s="2"/>
      <c r="H41" s="2"/>
      <c r="I41" s="2"/>
      <c r="J41" s="22">
        <f t="shared" si="5"/>
        <v>0</v>
      </c>
      <c r="K41" s="2"/>
      <c r="L41" s="2">
        <f t="shared" si="6"/>
        <v>3282.02</v>
      </c>
      <c r="M41" s="2"/>
      <c r="N41" s="22">
        <f t="shared" si="7"/>
        <v>0</v>
      </c>
      <c r="O41" s="11"/>
      <c r="P41" s="2">
        <v>220008.58000000002</v>
      </c>
      <c r="Q41" s="2"/>
      <c r="R41" s="22">
        <f t="shared" si="8"/>
        <v>8.3368463876025034E-2</v>
      </c>
      <c r="S41" s="2"/>
      <c r="T41" s="2"/>
      <c r="U41" s="2"/>
      <c r="V41" s="22">
        <f t="shared" si="9"/>
        <v>0</v>
      </c>
      <c r="W41" s="2"/>
      <c r="X41" s="2">
        <f t="shared" si="10"/>
        <v>220008.58000000002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"5011", " - ", "PURCHASES @ COST-NO VALUE TEXT")</f>
        <v xml:space="preserve">          5011 - PURCHASES @ COST-NO VALUE TEXT</v>
      </c>
      <c r="C42" s="11"/>
      <c r="D42" s="2"/>
      <c r="E42" s="2"/>
      <c r="F42" s="22">
        <f t="shared" si="4"/>
        <v>0</v>
      </c>
      <c r="G42" s="2"/>
      <c r="H42" s="2"/>
      <c r="I42" s="2"/>
      <c r="J42" s="22">
        <f t="shared" si="5"/>
        <v>0</v>
      </c>
      <c r="K42" s="2"/>
      <c r="L42" s="2">
        <f t="shared" si="6"/>
        <v>0</v>
      </c>
      <c r="M42" s="2"/>
      <c r="N42" s="22">
        <f t="shared" si="7"/>
        <v>0</v>
      </c>
      <c r="O42" s="11"/>
      <c r="P42" s="2">
        <v>67.17</v>
      </c>
      <c r="Q42" s="2"/>
      <c r="R42" s="22">
        <f t="shared" si="8"/>
        <v>2.5452915147911962E-5</v>
      </c>
      <c r="S42" s="2"/>
      <c r="T42" s="2"/>
      <c r="U42" s="2"/>
      <c r="V42" s="22">
        <f t="shared" si="9"/>
        <v>0</v>
      </c>
      <c r="W42" s="2"/>
      <c r="X42" s="2">
        <f t="shared" si="10"/>
        <v>67.17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"5013", " - ", "PURCHASES @ COST-TRADE BOOKS")</f>
        <v xml:space="preserve">          5013 - PURCHASES @ COST-TRADE BOOKS</v>
      </c>
      <c r="C43" s="11"/>
      <c r="D43" s="2">
        <v>305.11</v>
      </c>
      <c r="E43" s="2"/>
      <c r="F43" s="22">
        <f t="shared" si="4"/>
        <v>3.9075021710835633E-3</v>
      </c>
      <c r="G43" s="2"/>
      <c r="H43" s="2"/>
      <c r="I43" s="2"/>
      <c r="J43" s="22">
        <f t="shared" si="5"/>
        <v>0</v>
      </c>
      <c r="K43" s="2"/>
      <c r="L43" s="2">
        <f t="shared" si="6"/>
        <v>305.11</v>
      </c>
      <c r="M43" s="2"/>
      <c r="N43" s="22">
        <f t="shared" si="7"/>
        <v>0</v>
      </c>
      <c r="O43" s="11"/>
      <c r="P43" s="2">
        <v>5962.09</v>
      </c>
      <c r="Q43" s="2"/>
      <c r="R43" s="22">
        <f t="shared" si="8"/>
        <v>2.2592313662976693E-3</v>
      </c>
      <c r="S43" s="2"/>
      <c r="T43" s="2"/>
      <c r="U43" s="2"/>
      <c r="V43" s="22">
        <f t="shared" si="9"/>
        <v>0</v>
      </c>
      <c r="W43" s="2"/>
      <c r="X43" s="2">
        <f t="shared" si="10"/>
        <v>5962.09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"5014", " - ", "PURCHASES @ COST-REMAINDERS")</f>
        <v xml:space="preserve">          5014 - PURCHASES @ COST-REMAINDERS</v>
      </c>
      <c r="C44" s="11"/>
      <c r="D44" s="2">
        <v>21.16</v>
      </c>
      <c r="E44" s="2"/>
      <c r="F44" s="22">
        <f t="shared" si="4"/>
        <v>2.7099323503040933E-4</v>
      </c>
      <c r="G44" s="2"/>
      <c r="H44" s="2"/>
      <c r="I44" s="2"/>
      <c r="J44" s="22">
        <f t="shared" si="5"/>
        <v>0</v>
      </c>
      <c r="K44" s="2"/>
      <c r="L44" s="2">
        <f t="shared" si="6"/>
        <v>21.16</v>
      </c>
      <c r="M44" s="2"/>
      <c r="N44" s="22">
        <f t="shared" si="7"/>
        <v>0</v>
      </c>
      <c r="O44" s="11"/>
      <c r="P44" s="2">
        <v>111.57</v>
      </c>
      <c r="Q44" s="2"/>
      <c r="R44" s="22">
        <f t="shared" si="8"/>
        <v>4.2277530788336124E-5</v>
      </c>
      <c r="S44" s="2"/>
      <c r="T44" s="2"/>
      <c r="U44" s="2"/>
      <c r="V44" s="22">
        <f t="shared" si="9"/>
        <v>0</v>
      </c>
      <c r="W44" s="2"/>
      <c r="X44" s="2">
        <f t="shared" si="10"/>
        <v>111.57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"5018", " - ", "PURCHASES @ COST-STUDY GUIDES")</f>
        <v xml:space="preserve">          5018 - PURCHASES @ COST-STUDY GUIDES</v>
      </c>
      <c r="C45" s="11"/>
      <c r="D45" s="2"/>
      <c r="E45" s="2"/>
      <c r="F45" s="22">
        <f t="shared" si="4"/>
        <v>0</v>
      </c>
      <c r="G45" s="2"/>
      <c r="H45" s="2"/>
      <c r="I45" s="2"/>
      <c r="J45" s="22">
        <f t="shared" si="5"/>
        <v>0</v>
      </c>
      <c r="K45" s="2"/>
      <c r="L45" s="2">
        <f t="shared" si="6"/>
        <v>0</v>
      </c>
      <c r="M45" s="2"/>
      <c r="N45" s="22">
        <f t="shared" si="7"/>
        <v>0</v>
      </c>
      <c r="O45" s="11"/>
      <c r="P45" s="2">
        <v>522.34</v>
      </c>
      <c r="Q45" s="2"/>
      <c r="R45" s="22">
        <f t="shared" si="8"/>
        <v>1.9793175075718826E-4</v>
      </c>
      <c r="S45" s="2"/>
      <c r="T45" s="2"/>
      <c r="U45" s="2"/>
      <c r="V45" s="22">
        <f t="shared" si="9"/>
        <v>0</v>
      </c>
      <c r="W45" s="2"/>
      <c r="X45" s="2">
        <f t="shared" si="10"/>
        <v>522.34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"5200", " - ", "PURCHASES OFFSET")</f>
        <v xml:space="preserve">          5200 - PURCHASES OFFSET</v>
      </c>
      <c r="C46" s="11"/>
      <c r="D46" s="2">
        <v>212842.2</v>
      </c>
      <c r="E46" s="2"/>
      <c r="F46" s="22">
        <f t="shared" si="4"/>
        <v>2.7258410363416536</v>
      </c>
      <c r="G46" s="2"/>
      <c r="H46" s="2"/>
      <c r="I46" s="2"/>
      <c r="J46" s="22">
        <f t="shared" si="5"/>
        <v>0</v>
      </c>
      <c r="K46" s="2"/>
      <c r="L46" s="2">
        <f t="shared" si="6"/>
        <v>212842.2</v>
      </c>
      <c r="M46" s="2"/>
      <c r="N46" s="22">
        <f t="shared" si="7"/>
        <v>0</v>
      </c>
      <c r="O46" s="11"/>
      <c r="P46" s="2">
        <v>-1459800.9000000001</v>
      </c>
      <c r="Q46" s="2"/>
      <c r="R46" s="22">
        <f t="shared" si="8"/>
        <v>-0.5531664201361548</v>
      </c>
      <c r="S46" s="2"/>
      <c r="T46" s="2"/>
      <c r="U46" s="2"/>
      <c r="V46" s="22">
        <f t="shared" si="9"/>
        <v>0</v>
      </c>
      <c r="W46" s="2"/>
      <c r="X46" s="2">
        <f t="shared" si="10"/>
        <v>-1459800.9000000001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"5300", " - ", "COG$ OFFSET")</f>
        <v xml:space="preserve">          5300 - COG$ OFFSET</v>
      </c>
      <c r="C47" s="11"/>
      <c r="D47" s="2">
        <v>41957</v>
      </c>
      <c r="E47" s="2"/>
      <c r="F47" s="22">
        <f t="shared" si="4"/>
        <v>0.53733757855249931</v>
      </c>
      <c r="G47" s="2"/>
      <c r="H47" s="2"/>
      <c r="I47" s="2"/>
      <c r="J47" s="22">
        <f t="shared" si="5"/>
        <v>0</v>
      </c>
      <c r="K47" s="2"/>
      <c r="L47" s="2">
        <f t="shared" si="6"/>
        <v>41957</v>
      </c>
      <c r="M47" s="2"/>
      <c r="N47" s="22">
        <f t="shared" si="7"/>
        <v>0</v>
      </c>
      <c r="O47" s="11"/>
      <c r="P47" s="2">
        <v>1321408</v>
      </c>
      <c r="Q47" s="2"/>
      <c r="R47" s="22">
        <f t="shared" si="8"/>
        <v>0.5007248131572436</v>
      </c>
      <c r="S47" s="2"/>
      <c r="T47" s="2"/>
      <c r="U47" s="2"/>
      <c r="V47" s="22">
        <f t="shared" si="9"/>
        <v>0</v>
      </c>
      <c r="W47" s="2"/>
      <c r="X47" s="2">
        <f t="shared" si="10"/>
        <v>1321408</v>
      </c>
      <c r="Y47" s="2"/>
      <c r="Z47" s="22">
        <f t="shared" si="11"/>
        <v>0</v>
      </c>
    </row>
    <row r="48" spans="1:26" s="24" customFormat="1" hidden="1" outlineLevel="1" x14ac:dyDescent="0.25">
      <c r="A48" s="51"/>
      <c r="B48" s="11" t="str">
        <f>CONCATENATE("          ", "5501", " - ", "FREIGHT-IN-NEW TEXT")</f>
        <v xml:space="preserve">          5501 - FREIGHT-IN-NEW TEXT</v>
      </c>
      <c r="C48" s="11"/>
      <c r="D48" s="2">
        <v>4638.13</v>
      </c>
      <c r="E48" s="2"/>
      <c r="F48" s="22">
        <f t="shared" si="4"/>
        <v>5.9399898544026108E-2</v>
      </c>
      <c r="G48" s="2"/>
      <c r="H48" s="2"/>
      <c r="I48" s="2"/>
      <c r="J48" s="22">
        <f t="shared" si="5"/>
        <v>0</v>
      </c>
      <c r="K48" s="2"/>
      <c r="L48" s="2">
        <f t="shared" si="6"/>
        <v>4638.13</v>
      </c>
      <c r="M48" s="2"/>
      <c r="N48" s="22">
        <f t="shared" si="7"/>
        <v>0</v>
      </c>
      <c r="O48" s="11"/>
      <c r="P48" s="2">
        <v>49256.92</v>
      </c>
      <c r="Q48" s="2"/>
      <c r="R48" s="22">
        <f t="shared" si="8"/>
        <v>1.8665061861061302E-2</v>
      </c>
      <c r="S48" s="2"/>
      <c r="T48" s="2"/>
      <c r="U48" s="2"/>
      <c r="V48" s="22">
        <f t="shared" si="9"/>
        <v>0</v>
      </c>
      <c r="W48" s="2"/>
      <c r="X48" s="2">
        <f t="shared" si="10"/>
        <v>49256.92</v>
      </c>
      <c r="Y48" s="2"/>
      <c r="Z48" s="22">
        <f t="shared" si="11"/>
        <v>0</v>
      </c>
    </row>
    <row r="49" spans="1:26" s="24" customFormat="1" hidden="1" outlineLevel="1" x14ac:dyDescent="0.25">
      <c r="A49" s="51"/>
      <c r="B49" s="11" t="str">
        <f>CONCATENATE("          ", "5502", " - ", "FREIGHT-IN-USED TEXT")</f>
        <v xml:space="preserve">          5502 - FREIGHT-IN-USED TEXT</v>
      </c>
      <c r="C49" s="11"/>
      <c r="D49" s="2">
        <v>1484.45</v>
      </c>
      <c r="E49" s="2"/>
      <c r="F49" s="22">
        <f t="shared" si="4"/>
        <v>1.901114875902132E-2</v>
      </c>
      <c r="G49" s="2"/>
      <c r="H49" s="2"/>
      <c r="I49" s="2"/>
      <c r="J49" s="22">
        <f t="shared" si="5"/>
        <v>0</v>
      </c>
      <c r="K49" s="2"/>
      <c r="L49" s="2">
        <f t="shared" si="6"/>
        <v>1484.45</v>
      </c>
      <c r="M49" s="2"/>
      <c r="N49" s="22">
        <f t="shared" si="7"/>
        <v>0</v>
      </c>
      <c r="O49" s="11"/>
      <c r="P49" s="2">
        <v>17136.759999999998</v>
      </c>
      <c r="Q49" s="2"/>
      <c r="R49" s="22">
        <f t="shared" si="8"/>
        <v>6.4936801874368281E-3</v>
      </c>
      <c r="S49" s="2"/>
      <c r="T49" s="2"/>
      <c r="U49" s="2"/>
      <c r="V49" s="22">
        <f t="shared" si="9"/>
        <v>0</v>
      </c>
      <c r="W49" s="2"/>
      <c r="X49" s="2">
        <f t="shared" si="10"/>
        <v>17136.759999999998</v>
      </c>
      <c r="Y49" s="2"/>
      <c r="Z49" s="22">
        <f t="shared" si="11"/>
        <v>0</v>
      </c>
    </row>
    <row r="50" spans="1:26" s="24" customFormat="1" hidden="1" outlineLevel="1" x14ac:dyDescent="0.25">
      <c r="A50" s="51"/>
      <c r="B50" s="11" t="str">
        <f>CONCATENATE("          ", "5504", " - ", "FREIGHT-IN-DIGITAL TEXT")</f>
        <v xml:space="preserve">          5504 - FREIGHT-IN-DIGITAL TEXT</v>
      </c>
      <c r="C50" s="11"/>
      <c r="D50" s="2">
        <v>6.94</v>
      </c>
      <c r="E50" s="2"/>
      <c r="F50" s="22">
        <f t="shared" si="4"/>
        <v>8.8879633795417814E-5</v>
      </c>
      <c r="G50" s="2"/>
      <c r="H50" s="2"/>
      <c r="I50" s="2"/>
      <c r="J50" s="22">
        <f t="shared" si="5"/>
        <v>0</v>
      </c>
      <c r="K50" s="2"/>
      <c r="L50" s="2">
        <f t="shared" si="6"/>
        <v>6.94</v>
      </c>
      <c r="M50" s="2"/>
      <c r="N50" s="22">
        <f t="shared" si="7"/>
        <v>0</v>
      </c>
      <c r="O50" s="11"/>
      <c r="P50" s="2">
        <v>28.92</v>
      </c>
      <c r="Q50" s="2"/>
      <c r="R50" s="22">
        <f t="shared" si="8"/>
        <v>1.0958736133357363E-5</v>
      </c>
      <c r="S50" s="2"/>
      <c r="T50" s="2"/>
      <c r="U50" s="2"/>
      <c r="V50" s="22">
        <f t="shared" si="9"/>
        <v>0</v>
      </c>
      <c r="W50" s="2"/>
      <c r="X50" s="2">
        <f t="shared" si="10"/>
        <v>28.92</v>
      </c>
      <c r="Y50" s="2"/>
      <c r="Z50" s="22">
        <f t="shared" si="11"/>
        <v>0</v>
      </c>
    </row>
    <row r="51" spans="1:26" s="24" customFormat="1" hidden="1" outlineLevel="1" x14ac:dyDescent="0.25">
      <c r="A51" s="51"/>
      <c r="B51" s="11" t="str">
        <f>CONCATENATE("          ", "5513", " - ", "FREIGHT-IN-TRADE BOOKS")</f>
        <v xml:space="preserve">          5513 - FREIGHT-IN-TRADE BOOKS</v>
      </c>
      <c r="C51" s="11"/>
      <c r="D51" s="2"/>
      <c r="E51" s="2"/>
      <c r="F51" s="22">
        <f t="shared" si="4"/>
        <v>0</v>
      </c>
      <c r="G51" s="2"/>
      <c r="H51" s="2"/>
      <c r="I51" s="2"/>
      <c r="J51" s="22">
        <f t="shared" si="5"/>
        <v>0</v>
      </c>
      <c r="K51" s="2"/>
      <c r="L51" s="2">
        <f t="shared" si="6"/>
        <v>0</v>
      </c>
      <c r="M51" s="2"/>
      <c r="N51" s="22">
        <f t="shared" si="7"/>
        <v>0</v>
      </c>
      <c r="O51" s="11"/>
      <c r="P51" s="2">
        <v>33.520000000000003</v>
      </c>
      <c r="Q51" s="2"/>
      <c r="R51" s="22">
        <f t="shared" si="8"/>
        <v>1.2701826942950857E-5</v>
      </c>
      <c r="S51" s="2"/>
      <c r="T51" s="2"/>
      <c r="U51" s="2"/>
      <c r="V51" s="22">
        <f t="shared" si="9"/>
        <v>0</v>
      </c>
      <c r="W51" s="2"/>
      <c r="X51" s="2">
        <f t="shared" si="10"/>
        <v>33.520000000000003</v>
      </c>
      <c r="Y51" s="2"/>
      <c r="Z51" s="22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6</v>
      </c>
      <c r="C53" s="25"/>
      <c r="D53" s="19">
        <f>D12-D36</f>
        <v>24151.749999999993</v>
      </c>
      <c r="E53" s="13"/>
      <c r="F53" s="21">
        <f>IF(D$12=0,0,D53/D$12)</f>
        <v>0.30930816938306649</v>
      </c>
      <c r="G53" s="13"/>
      <c r="H53" s="19">
        <f>H12-H36</f>
        <v>49853</v>
      </c>
      <c r="I53" s="13"/>
      <c r="J53" s="21">
        <f>IF(H$12=0,0,H53/H$12)</f>
        <v>0.27148466217577644</v>
      </c>
      <c r="K53" s="15"/>
      <c r="L53" s="19">
        <f>+D53-H53</f>
        <v>-25701.250000000007</v>
      </c>
      <c r="M53" s="15"/>
      <c r="N53" s="21">
        <f>IF(H53=0,0,L53/H53)</f>
        <v>-0.51554068962750499</v>
      </c>
      <c r="O53" s="26"/>
      <c r="P53" s="19">
        <f>P12-P36</f>
        <v>775483.09999999986</v>
      </c>
      <c r="Q53" s="13"/>
      <c r="R53" s="21">
        <f>IF(P$12=0,0,P53/P$12)</f>
        <v>0.29385597056632012</v>
      </c>
      <c r="S53" s="13"/>
      <c r="T53" s="19">
        <f>T12-T36</f>
        <v>1187191</v>
      </c>
      <c r="U53" s="13"/>
      <c r="V53" s="21">
        <f>IF(T$12=0,0,T53/T$12)</f>
        <v>0.27272111206368199</v>
      </c>
      <c r="W53" s="15"/>
      <c r="X53" s="19">
        <f>+P53-T53</f>
        <v>-411707.90000000014</v>
      </c>
      <c r="Y53" s="15"/>
      <c r="Z53" s="21">
        <f>IF(T53=0,0,X53/T53)</f>
        <v>-0.34679162830580768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9</v>
      </c>
      <c r="C55" s="10"/>
      <c r="D55" s="20">
        <f>SUM(OSRRefD22x_0)</f>
        <v>39269.65</v>
      </c>
      <c r="E55" s="20"/>
      <c r="F55" s="33">
        <f t="shared" ref="F55:F66" si="12">IF(D$12=0,0,D55/D$12)</f>
        <v>0.50292105349772753</v>
      </c>
      <c r="G55" s="20"/>
      <c r="H55" s="20">
        <f>SUM(OSRRefH22x_0)</f>
        <v>54288.161433611524</v>
      </c>
      <c r="I55" s="20"/>
      <c r="J55" s="33">
        <f t="shared" ref="J55:J66" si="13">IF(H$12=0,0,H55/H$12)</f>
        <v>0.29563723681519744</v>
      </c>
      <c r="K55" s="4"/>
      <c r="L55" s="20">
        <f t="shared" ref="L55:L66" si="14">+D55-H55</f>
        <v>-15018.511433611522</v>
      </c>
      <c r="M55" s="4"/>
      <c r="N55" s="33">
        <f t="shared" ref="N55:N66" si="15">IF(H55=0,0,L55/H55)</f>
        <v>-0.27664431870616057</v>
      </c>
      <c r="O55" s="10"/>
      <c r="P55" s="20">
        <f>SUM(OSRRefP22x_0)</f>
        <v>362260.23999999993</v>
      </c>
      <c r="Q55" s="20"/>
      <c r="R55" s="33">
        <f t="shared" ref="R55:R66" si="16">IF(P$12=0,0,P55/P$12)</f>
        <v>0.13727228152720294</v>
      </c>
      <c r="S55" s="20"/>
      <c r="T55" s="20">
        <f>SUM(OSRRefT22x_0)</f>
        <v>459141.29133053846</v>
      </c>
      <c r="U55" s="20"/>
      <c r="V55" s="33">
        <f t="shared" ref="V55:V66" si="17">IF(T$12=0,0,T55/T$12)</f>
        <v>0.10547378102261509</v>
      </c>
      <c r="W55" s="4"/>
      <c r="X55" s="20">
        <f t="shared" ref="X55:X66" si="18">+P55-T55</f>
        <v>-96881.051330538525</v>
      </c>
      <c r="Y55" s="4"/>
      <c r="Z55" s="33">
        <f t="shared" ref="Z55:Z66" si="19">IF(T55=0,0,X55/T55)</f>
        <v>-0.21100487618917571</v>
      </c>
    </row>
    <row r="56" spans="1:26" s="28" customFormat="1" outlineLevel="1" collapsed="1" x14ac:dyDescent="0.25">
      <c r="A56" s="29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11929.13</v>
      </c>
      <c r="E56" s="1"/>
      <c r="F56" s="5">
        <f t="shared" si="12"/>
        <v>0.15277474148385192</v>
      </c>
      <c r="G56" s="1"/>
      <c r="H56" s="1">
        <f>SUM(OSRRefH22_0x_0)</f>
        <v>11568.036789919228</v>
      </c>
      <c r="I56" s="1"/>
      <c r="J56" s="5">
        <f t="shared" si="13"/>
        <v>6.2996099732176097E-2</v>
      </c>
      <c r="K56" s="1"/>
      <c r="L56" s="1">
        <f t="shared" si="14"/>
        <v>361.09321008077131</v>
      </c>
      <c r="M56" s="1"/>
      <c r="N56" s="5">
        <f t="shared" si="15"/>
        <v>3.1214735623545039E-2</v>
      </c>
      <c r="O56" s="14"/>
      <c r="P56" s="1">
        <f>SUM(OSRRefP22_0x_0)</f>
        <v>93726.34</v>
      </c>
      <c r="Q56" s="1"/>
      <c r="R56" s="5">
        <f t="shared" si="16"/>
        <v>3.551598301539894E-2</v>
      </c>
      <c r="S56" s="1"/>
      <c r="T56" s="1">
        <f>SUM(OSRRefT22_0x_0)</f>
        <v>101303.96382323076</v>
      </c>
      <c r="U56" s="1"/>
      <c r="V56" s="5">
        <f t="shared" si="17"/>
        <v>2.3271512056889331E-2</v>
      </c>
      <c r="W56" s="1"/>
      <c r="X56" s="1">
        <f t="shared" si="18"/>
        <v>-7577.623823230766</v>
      </c>
      <c r="Y56" s="1"/>
      <c r="Z56" s="5">
        <f t="shared" si="19"/>
        <v>-7.4800862051688885E-2</v>
      </c>
    </row>
    <row r="57" spans="1:26" s="24" customFormat="1" hidden="1" outlineLevel="2" x14ac:dyDescent="0.25">
      <c r="A57" s="27"/>
      <c r="B57" s="11" t="str">
        <f>CONCATENATE("          ", "6111", " - ", "F.I.C.A.")</f>
        <v xml:space="preserve">          6111 - F.I.C.A.</v>
      </c>
      <c r="C57" s="11"/>
      <c r="D57" s="7">
        <v>1875.59</v>
      </c>
      <c r="E57" s="2"/>
      <c r="F57" s="6">
        <f t="shared" si="12"/>
        <v>2.4020425410712924E-2</v>
      </c>
      <c r="G57" s="2"/>
      <c r="H57" s="7">
        <v>1568.3171629384599</v>
      </c>
      <c r="I57" s="2"/>
      <c r="J57" s="6">
        <f t="shared" si="13"/>
        <v>8.5405904391876088E-3</v>
      </c>
      <c r="K57" s="2"/>
      <c r="L57" s="7">
        <f t="shared" si="14"/>
        <v>307.27283706154003</v>
      </c>
      <c r="M57" s="2"/>
      <c r="N57" s="6">
        <f t="shared" si="15"/>
        <v>0.19592518931937319</v>
      </c>
      <c r="O57" s="11"/>
      <c r="P57" s="7">
        <v>17001.2</v>
      </c>
      <c r="Q57" s="2"/>
      <c r="R57" s="6">
        <f t="shared" si="16"/>
        <v>6.4423120591436782E-3</v>
      </c>
      <c r="S57" s="2"/>
      <c r="T57" s="7">
        <v>15907.00738283654</v>
      </c>
      <c r="U57" s="2"/>
      <c r="V57" s="6">
        <f t="shared" si="17"/>
        <v>3.6541523167311581E-3</v>
      </c>
      <c r="W57" s="2"/>
      <c r="X57" s="7">
        <f t="shared" si="18"/>
        <v>1094.1926171634605</v>
      </c>
      <c r="Y57" s="2"/>
      <c r="Z57" s="6">
        <f t="shared" si="19"/>
        <v>6.8786830283619566E-2</v>
      </c>
    </row>
    <row r="58" spans="1:26" s="24" customFormat="1" hidden="1" outlineLevel="2" x14ac:dyDescent="0.25">
      <c r="A58" s="27"/>
      <c r="B58" s="11" t="str">
        <f>CONCATENATE("          ", "6112", " - ", "COMPENSATION INSURANCE")</f>
        <v xml:space="preserve">          6112 - COMPENSATION INSURANCE</v>
      </c>
      <c r="C58" s="11"/>
      <c r="D58" s="7">
        <v>86.99</v>
      </c>
      <c r="E58" s="2"/>
      <c r="F58" s="6">
        <f t="shared" si="12"/>
        <v>1.1140690697209502E-3</v>
      </c>
      <c r="G58" s="2"/>
      <c r="H58" s="7">
        <v>595.32933471153899</v>
      </c>
      <c r="I58" s="2"/>
      <c r="J58" s="6">
        <f t="shared" si="13"/>
        <v>3.2419871084486771E-3</v>
      </c>
      <c r="K58" s="2"/>
      <c r="L58" s="7">
        <f t="shared" si="14"/>
        <v>-508.33933471153898</v>
      </c>
      <c r="M58" s="2"/>
      <c r="N58" s="6">
        <f t="shared" si="15"/>
        <v>-0.85387919773489718</v>
      </c>
      <c r="O58" s="11"/>
      <c r="P58" s="7">
        <v>943.96</v>
      </c>
      <c r="Q58" s="2"/>
      <c r="R58" s="6">
        <f t="shared" si="16"/>
        <v>3.5769739143997286E-4</v>
      </c>
      <c r="S58" s="2"/>
      <c r="T58" s="7">
        <v>5584.9820609134604</v>
      </c>
      <c r="U58" s="2"/>
      <c r="V58" s="6">
        <f t="shared" si="17"/>
        <v>1.2829801763221194E-3</v>
      </c>
      <c r="W58" s="2"/>
      <c r="X58" s="7">
        <f t="shared" si="18"/>
        <v>-4641.0220609134603</v>
      </c>
      <c r="Y58" s="2"/>
      <c r="Z58" s="6">
        <f t="shared" si="19"/>
        <v>-0.83098244726580028</v>
      </c>
    </row>
    <row r="59" spans="1:26" s="24" customFormat="1" hidden="1" outlineLevel="2" x14ac:dyDescent="0.25">
      <c r="A59" s="27"/>
      <c r="B59" s="11" t="str">
        <f>CONCATENATE("          ", "6113", " - ", "GROUP INSURANCE")</f>
        <v xml:space="preserve">          6113 - GROUP INSURANCE</v>
      </c>
      <c r="C59" s="11"/>
      <c r="D59" s="7">
        <v>4943.91</v>
      </c>
      <c r="E59" s="2"/>
      <c r="F59" s="6">
        <f t="shared" si="12"/>
        <v>6.3315981313761385E-2</v>
      </c>
      <c r="G59" s="2"/>
      <c r="H59" s="7">
        <v>4662.6923076923094</v>
      </c>
      <c r="I59" s="2"/>
      <c r="J59" s="6">
        <f t="shared" si="13"/>
        <v>2.5391640342275049E-2</v>
      </c>
      <c r="K59" s="2"/>
      <c r="L59" s="7">
        <f t="shared" si="14"/>
        <v>281.21769230769041</v>
      </c>
      <c r="M59" s="2"/>
      <c r="N59" s="6">
        <f t="shared" si="15"/>
        <v>6.0312298935906526E-2</v>
      </c>
      <c r="O59" s="11"/>
      <c r="P59" s="7">
        <v>35276.04</v>
      </c>
      <c r="Q59" s="2"/>
      <c r="R59" s="6">
        <f t="shared" si="16"/>
        <v>1.3367248070185326E-2</v>
      </c>
      <c r="S59" s="2"/>
      <c r="T59" s="7">
        <v>38222.307692307688</v>
      </c>
      <c r="U59" s="2"/>
      <c r="V59" s="6">
        <f t="shared" si="17"/>
        <v>8.7804155013695168E-3</v>
      </c>
      <c r="W59" s="2"/>
      <c r="X59" s="7">
        <f t="shared" si="18"/>
        <v>-2946.267692307687</v>
      </c>
      <c r="Y59" s="2"/>
      <c r="Z59" s="6">
        <f t="shared" si="19"/>
        <v>-7.7082412606411757E-2</v>
      </c>
    </row>
    <row r="60" spans="1:26" s="24" customFormat="1" hidden="1" outlineLevel="2" x14ac:dyDescent="0.2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7">
        <v>68.540000000000006</v>
      </c>
      <c r="E60" s="2"/>
      <c r="F60" s="6">
        <f t="shared" si="12"/>
        <v>8.7778243520719561E-4</v>
      </c>
      <c r="G60" s="2"/>
      <c r="H60" s="7">
        <v>83.667906500000001</v>
      </c>
      <c r="I60" s="2"/>
      <c r="J60" s="6">
        <f t="shared" si="13"/>
        <v>4.5563062064684067E-4</v>
      </c>
      <c r="K60" s="2"/>
      <c r="L60" s="7">
        <f t="shared" si="14"/>
        <v>-15.127906499999995</v>
      </c>
      <c r="M60" s="2"/>
      <c r="N60" s="6">
        <f t="shared" si="15"/>
        <v>-0.18080895211594655</v>
      </c>
      <c r="O60" s="11"/>
      <c r="P60" s="7">
        <v>600.69000000000005</v>
      </c>
      <c r="Q60" s="2"/>
      <c r="R60" s="6">
        <f t="shared" si="16"/>
        <v>2.2762113443798181E-4</v>
      </c>
      <c r="S60" s="2"/>
      <c r="T60" s="7">
        <v>784.91639774999999</v>
      </c>
      <c r="U60" s="2"/>
      <c r="V60" s="6">
        <f t="shared" si="17"/>
        <v>1.8031072748310871E-4</v>
      </c>
      <c r="W60" s="2"/>
      <c r="X60" s="7">
        <f t="shared" si="18"/>
        <v>-184.22639774999993</v>
      </c>
      <c r="Y60" s="2"/>
      <c r="Z60" s="6">
        <f t="shared" si="19"/>
        <v>-0.23470830559546677</v>
      </c>
    </row>
    <row r="61" spans="1:26" s="24" customFormat="1" hidden="1" outlineLevel="2" x14ac:dyDescent="0.25">
      <c r="A61" s="27"/>
      <c r="B61" s="11" t="str">
        <f>CONCATENATE("          ", "6115", " - ", "P.E.R.S.")</f>
        <v xml:space="preserve">          6115 - P.E.R.S.</v>
      </c>
      <c r="C61" s="11"/>
      <c r="D61" s="7">
        <v>1783.22</v>
      </c>
      <c r="E61" s="2"/>
      <c r="F61" s="6">
        <f t="shared" si="12"/>
        <v>2.2837455414505034E-2</v>
      </c>
      <c r="G61" s="2"/>
      <c r="H61" s="7">
        <v>1268.5379723076899</v>
      </c>
      <c r="I61" s="2"/>
      <c r="J61" s="6">
        <f t="shared" si="13"/>
        <v>6.9080818179266569E-3</v>
      </c>
      <c r="K61" s="2"/>
      <c r="L61" s="7">
        <f t="shared" si="14"/>
        <v>514.68202769231016</v>
      </c>
      <c r="M61" s="2"/>
      <c r="N61" s="6">
        <f t="shared" si="15"/>
        <v>0.40572851497382817</v>
      </c>
      <c r="O61" s="11"/>
      <c r="P61" s="7">
        <v>14958.510000000002</v>
      </c>
      <c r="Q61" s="2"/>
      <c r="R61" s="6">
        <f t="shared" si="16"/>
        <v>5.6682698491766059E-3</v>
      </c>
      <c r="S61" s="2"/>
      <c r="T61" s="7">
        <v>11099.707257692311</v>
      </c>
      <c r="U61" s="2"/>
      <c r="V61" s="6">
        <f t="shared" si="17"/>
        <v>2.5498209697505866E-3</v>
      </c>
      <c r="W61" s="2"/>
      <c r="X61" s="7">
        <f t="shared" si="18"/>
        <v>3858.802742307691</v>
      </c>
      <c r="Y61" s="2"/>
      <c r="Z61" s="6">
        <f t="shared" si="19"/>
        <v>0.34764905530580242</v>
      </c>
    </row>
    <row r="62" spans="1:26" s="24" customFormat="1" hidden="1" outlineLevel="2" x14ac:dyDescent="0.25">
      <c r="A62" s="27"/>
      <c r="B62" s="11" t="str">
        <f>CONCATENATE("          ", "6116", " - ", "EDUCATIONAL BENEFITS")</f>
        <v xml:space="preserve">          6116 - EDUCATIONAL BENEFITS</v>
      </c>
      <c r="C62" s="11"/>
      <c r="D62" s="7"/>
      <c r="E62" s="2"/>
      <c r="F62" s="6">
        <f t="shared" si="12"/>
        <v>0</v>
      </c>
      <c r="G62" s="2"/>
      <c r="H62" s="7">
        <v>0</v>
      </c>
      <c r="I62" s="2"/>
      <c r="J62" s="6">
        <f t="shared" si="13"/>
        <v>0</v>
      </c>
      <c r="K62" s="2"/>
      <c r="L62" s="7">
        <f t="shared" si="14"/>
        <v>0</v>
      </c>
      <c r="M62" s="2"/>
      <c r="N62" s="6">
        <f t="shared" si="15"/>
        <v>0</v>
      </c>
      <c r="O62" s="11"/>
      <c r="P62" s="7"/>
      <c r="Q62" s="2"/>
      <c r="R62" s="6">
        <f t="shared" si="16"/>
        <v>0</v>
      </c>
      <c r="S62" s="2"/>
      <c r="T62" s="7">
        <v>0</v>
      </c>
      <c r="U62" s="2"/>
      <c r="V62" s="6">
        <f t="shared" si="17"/>
        <v>0</v>
      </c>
      <c r="W62" s="2"/>
      <c r="X62" s="7">
        <f t="shared" si="18"/>
        <v>0</v>
      </c>
      <c r="Y62" s="2"/>
      <c r="Z62" s="6">
        <f t="shared" si="19"/>
        <v>0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7">
        <v>298.89999999999998</v>
      </c>
      <c r="E63" s="2"/>
      <c r="F63" s="6">
        <f t="shared" si="12"/>
        <v>3.827971547759421E-3</v>
      </c>
      <c r="G63" s="2"/>
      <c r="H63" s="7"/>
      <c r="I63" s="2"/>
      <c r="J63" s="6">
        <f t="shared" si="13"/>
        <v>0</v>
      </c>
      <c r="K63" s="2"/>
      <c r="L63" s="7">
        <f t="shared" si="14"/>
        <v>298.89999999999998</v>
      </c>
      <c r="M63" s="2"/>
      <c r="N63" s="6">
        <f t="shared" si="15"/>
        <v>0</v>
      </c>
      <c r="O63" s="11"/>
      <c r="P63" s="7">
        <v>2140.98</v>
      </c>
      <c r="Q63" s="2"/>
      <c r="R63" s="6">
        <f t="shared" si="16"/>
        <v>8.1128751337466954E-4</v>
      </c>
      <c r="S63" s="2"/>
      <c r="T63" s="7"/>
      <c r="U63" s="2"/>
      <c r="V63" s="6">
        <f t="shared" si="17"/>
        <v>0</v>
      </c>
      <c r="W63" s="2"/>
      <c r="X63" s="7">
        <f t="shared" si="18"/>
        <v>2140.98</v>
      </c>
      <c r="Y63" s="2"/>
      <c r="Z63" s="6">
        <f t="shared" si="19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7">
        <v>1386.96</v>
      </c>
      <c r="E64" s="2"/>
      <c r="F64" s="6">
        <f t="shared" si="12"/>
        <v>1.7762607620877908E-2</v>
      </c>
      <c r="G64" s="2"/>
      <c r="H64" s="7">
        <v>1346.2077200000001</v>
      </c>
      <c r="I64" s="2"/>
      <c r="J64" s="6">
        <f t="shared" si="13"/>
        <v>7.3310482434883004E-3</v>
      </c>
      <c r="K64" s="2"/>
      <c r="L64" s="7">
        <f t="shared" si="14"/>
        <v>40.752279999999928</v>
      </c>
      <c r="M64" s="2"/>
      <c r="N64" s="6">
        <f t="shared" si="15"/>
        <v>3.0271910786546317E-2</v>
      </c>
      <c r="O64" s="11"/>
      <c r="P64" s="7">
        <v>10689.66</v>
      </c>
      <c r="Q64" s="2"/>
      <c r="R64" s="6">
        <f t="shared" si="16"/>
        <v>4.0506626312346071E-3</v>
      </c>
      <c r="S64" s="2"/>
      <c r="T64" s="7">
        <v>11779.31755</v>
      </c>
      <c r="U64" s="2"/>
      <c r="V64" s="6">
        <f t="shared" si="17"/>
        <v>2.7059408145675345E-3</v>
      </c>
      <c r="W64" s="2"/>
      <c r="X64" s="7">
        <f t="shared" si="18"/>
        <v>-1089.6575499999999</v>
      </c>
      <c r="Y64" s="2"/>
      <c r="Z64" s="6">
        <f t="shared" si="19"/>
        <v>-9.2506000061098603E-2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7">
        <v>1147.56</v>
      </c>
      <c r="E65" s="2"/>
      <c r="F65" s="6">
        <f t="shared" si="12"/>
        <v>1.4696644460845771E-2</v>
      </c>
      <c r="G65" s="2"/>
      <c r="H65" s="7">
        <v>1293.2843857692299</v>
      </c>
      <c r="I65" s="2"/>
      <c r="J65" s="6">
        <f t="shared" si="13"/>
        <v>7.0428434511015563E-3</v>
      </c>
      <c r="K65" s="2"/>
      <c r="L65" s="7">
        <f t="shared" si="14"/>
        <v>-145.72438576922991</v>
      </c>
      <c r="M65" s="2"/>
      <c r="N65" s="6">
        <f t="shared" si="15"/>
        <v>-0.11267775856008252</v>
      </c>
      <c r="O65" s="11"/>
      <c r="P65" s="7">
        <v>8739.4599999999991</v>
      </c>
      <c r="Q65" s="2"/>
      <c r="R65" s="6">
        <f t="shared" si="16"/>
        <v>3.3116679145239044E-3</v>
      </c>
      <c r="S65" s="2"/>
      <c r="T65" s="7">
        <v>11925.725481730771</v>
      </c>
      <c r="U65" s="2"/>
      <c r="V65" s="6">
        <f t="shared" si="17"/>
        <v>2.7395735947659686E-3</v>
      </c>
      <c r="W65" s="2"/>
      <c r="X65" s="7">
        <f t="shared" si="18"/>
        <v>-3186.2654817307721</v>
      </c>
      <c r="Y65" s="2"/>
      <c r="Z65" s="6">
        <f t="shared" si="19"/>
        <v>-0.26717581975300941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7">
        <v>337.46</v>
      </c>
      <c r="E66" s="2"/>
      <c r="F66" s="6">
        <f t="shared" si="12"/>
        <v>4.3218042104613387E-3</v>
      </c>
      <c r="G66" s="2"/>
      <c r="H66" s="7">
        <v>750</v>
      </c>
      <c r="I66" s="2"/>
      <c r="J66" s="6">
        <f t="shared" si="13"/>
        <v>4.0842777091014042E-3</v>
      </c>
      <c r="K66" s="2"/>
      <c r="L66" s="7">
        <f t="shared" si="14"/>
        <v>-412.54</v>
      </c>
      <c r="M66" s="2"/>
      <c r="N66" s="6">
        <f t="shared" si="15"/>
        <v>-0.55005333333333339</v>
      </c>
      <c r="O66" s="11"/>
      <c r="P66" s="7">
        <v>3375.84</v>
      </c>
      <c r="Q66" s="2"/>
      <c r="R66" s="6">
        <f t="shared" si="16"/>
        <v>1.2792164518821963E-3</v>
      </c>
      <c r="S66" s="2"/>
      <c r="T66" s="7">
        <v>6000</v>
      </c>
      <c r="U66" s="2"/>
      <c r="V66" s="6">
        <f t="shared" si="17"/>
        <v>1.3783179558993386E-3</v>
      </c>
      <c r="W66" s="2"/>
      <c r="X66" s="7">
        <f t="shared" si="18"/>
        <v>-2624.16</v>
      </c>
      <c r="Y66" s="2"/>
      <c r="Z66" s="6">
        <f t="shared" si="19"/>
        <v>-0.43735999999999997</v>
      </c>
    </row>
    <row r="67" spans="1:26" s="28" customFormat="1" outlineLevel="1" collapsed="1" x14ac:dyDescent="0.25">
      <c r="A67" s="29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SUM(OSRRefD22_1x_0)</f>
        <v>23630.000000000004</v>
      </c>
      <c r="E67" s="1"/>
      <c r="F67" s="5">
        <f t="shared" ref="F67:F77" si="20">IF(D$12=0,0,D67/D$12)</f>
        <v>0.30262618826883619</v>
      </c>
      <c r="G67" s="1"/>
      <c r="H67" s="1">
        <f>SUM(OSRRefH22_1x_0)</f>
        <v>30080.124643692299</v>
      </c>
      <c r="I67" s="1"/>
      <c r="J67" s="5">
        <f t="shared" ref="J67:J77" si="21">IF(H$12=0,0,H67/H$12)</f>
        <v>0.16380744342563239</v>
      </c>
      <c r="K67" s="1"/>
      <c r="L67" s="1">
        <f t="shared" ref="L67:L77" si="22">+D67-H67</f>
        <v>-6450.1246436922956</v>
      </c>
      <c r="M67" s="1"/>
      <c r="N67" s="5">
        <f t="shared" ref="N67:N77" si="23">IF(H67=0,0,L67/H67)</f>
        <v>-0.21443144668101849</v>
      </c>
      <c r="O67" s="14"/>
      <c r="P67" s="1">
        <f>SUM(OSRRefP22_1x_0)</f>
        <v>227398.37</v>
      </c>
      <c r="Q67" s="1"/>
      <c r="R67" s="5">
        <f t="shared" ref="R67:R77" si="24">IF(P$12=0,0,P67/P$12)</f>
        <v>8.6168697579030659E-2</v>
      </c>
      <c r="S67" s="1"/>
      <c r="T67" s="1">
        <f>SUM(OSRRefT22_1x_0)</f>
        <v>283517.32750730769</v>
      </c>
      <c r="U67" s="1"/>
      <c r="V67" s="5">
        <f t="shared" ref="V67:V77" si="25">IF(T$12=0,0,T67/T$12)</f>
        <v>6.5129503885319281E-2</v>
      </c>
      <c r="W67" s="1"/>
      <c r="X67" s="1">
        <f t="shared" ref="X67:X77" si="26">+P67-T67</f>
        <v>-56118.957507307699</v>
      </c>
      <c r="Y67" s="1"/>
      <c r="Z67" s="5">
        <f t="shared" ref="Z67:Z77" si="27">IF(T67=0,0,X67/T67)</f>
        <v>-0.19793836941363391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7"/>
      <c r="E68" s="2"/>
      <c r="F68" s="6">
        <f t="shared" si="20"/>
        <v>0</v>
      </c>
      <c r="G68" s="2"/>
      <c r="H68" s="7">
        <v>0</v>
      </c>
      <c r="I68" s="2"/>
      <c r="J68" s="6">
        <f t="shared" si="21"/>
        <v>0</v>
      </c>
      <c r="K68" s="2"/>
      <c r="L68" s="7">
        <f t="shared" si="22"/>
        <v>0</v>
      </c>
      <c r="M68" s="2"/>
      <c r="N68" s="6">
        <f t="shared" si="23"/>
        <v>0</v>
      </c>
      <c r="O68" s="11"/>
      <c r="P68" s="7">
        <v>-311.32</v>
      </c>
      <c r="Q68" s="2"/>
      <c r="R68" s="6">
        <f t="shared" si="24"/>
        <v>-1.1796935453101015E-4</v>
      </c>
      <c r="S68" s="2"/>
      <c r="T68" s="7">
        <v>0</v>
      </c>
      <c r="U68" s="2"/>
      <c r="V68" s="6">
        <f t="shared" si="25"/>
        <v>0</v>
      </c>
      <c r="W68" s="2"/>
      <c r="X68" s="7">
        <f t="shared" si="26"/>
        <v>-311.32</v>
      </c>
      <c r="Y68" s="2"/>
      <c r="Z68" s="6">
        <f t="shared" si="27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7">
        <v>16765.57</v>
      </c>
      <c r="E69" s="2"/>
      <c r="F69" s="6">
        <f t="shared" si="20"/>
        <v>0.21471436916015027</v>
      </c>
      <c r="G69" s="2"/>
      <c r="H69" s="7">
        <v>13107.2520636923</v>
      </c>
      <c r="I69" s="2"/>
      <c r="J69" s="6">
        <f t="shared" si="21"/>
        <v>7.1378209908415785E-2</v>
      </c>
      <c r="K69" s="2"/>
      <c r="L69" s="7">
        <f t="shared" si="22"/>
        <v>3658.3179363076997</v>
      </c>
      <c r="M69" s="2"/>
      <c r="N69" s="6">
        <f t="shared" si="23"/>
        <v>0.27910639991744807</v>
      </c>
      <c r="O69" s="11"/>
      <c r="P69" s="7">
        <v>138126.24</v>
      </c>
      <c r="Q69" s="2"/>
      <c r="R69" s="6">
        <f t="shared" si="24"/>
        <v>5.2340560762544633E-2</v>
      </c>
      <c r="S69" s="2"/>
      <c r="T69" s="7">
        <v>114688.45555730769</v>
      </c>
      <c r="U69" s="2"/>
      <c r="V69" s="6">
        <f t="shared" si="25"/>
        <v>2.634619293816675E-2</v>
      </c>
      <c r="W69" s="2"/>
      <c r="X69" s="7">
        <f t="shared" si="26"/>
        <v>23437.784442692297</v>
      </c>
      <c r="Y69" s="2"/>
      <c r="Z69" s="6">
        <f t="shared" si="27"/>
        <v>0.20436045048126811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7">
        <v>6038.31</v>
      </c>
      <c r="E71" s="2"/>
      <c r="F71" s="6">
        <f t="shared" si="20"/>
        <v>7.733181290247973E-2</v>
      </c>
      <c r="G71" s="2"/>
      <c r="H71" s="7">
        <v>5285.7500799999998</v>
      </c>
      <c r="I71" s="2"/>
      <c r="J71" s="6">
        <f t="shared" si="21"/>
        <v>2.8784628303499954E-2</v>
      </c>
      <c r="K71" s="2"/>
      <c r="L71" s="7">
        <f t="shared" si="22"/>
        <v>752.5599200000006</v>
      </c>
      <c r="M71" s="2"/>
      <c r="N71" s="6">
        <f t="shared" si="23"/>
        <v>0.14237523693136861</v>
      </c>
      <c r="O71" s="11"/>
      <c r="P71" s="7">
        <v>53932.72</v>
      </c>
      <c r="Q71" s="2"/>
      <c r="R71" s="6">
        <f t="shared" si="24"/>
        <v>2.0436875775734623E-2</v>
      </c>
      <c r="S71" s="2"/>
      <c r="T71" s="7">
        <v>46250.313200000004</v>
      </c>
      <c r="U71" s="2"/>
      <c r="V71" s="6">
        <f t="shared" si="25"/>
        <v>1.0624606191588035E-2</v>
      </c>
      <c r="W71" s="2"/>
      <c r="X71" s="7">
        <f t="shared" si="26"/>
        <v>7682.406799999997</v>
      </c>
      <c r="Y71" s="2"/>
      <c r="Z71" s="6">
        <f t="shared" si="27"/>
        <v>0.16610496812808603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7"/>
      <c r="E72" s="2"/>
      <c r="F72" s="6">
        <f t="shared" si="20"/>
        <v>0</v>
      </c>
      <c r="G72" s="2"/>
      <c r="H72" s="7">
        <v>3082.56</v>
      </c>
      <c r="I72" s="2"/>
      <c r="J72" s="6">
        <f t="shared" si="21"/>
        <v>1.6786708126623501E-2</v>
      </c>
      <c r="K72" s="2"/>
      <c r="L72" s="7">
        <f t="shared" si="22"/>
        <v>-3082.56</v>
      </c>
      <c r="M72" s="2"/>
      <c r="N72" s="6">
        <f t="shared" si="23"/>
        <v>-1</v>
      </c>
      <c r="O72" s="11"/>
      <c r="P72" s="7">
        <v>12838</v>
      </c>
      <c r="Q72" s="2"/>
      <c r="R72" s="6">
        <f t="shared" si="24"/>
        <v>4.864739089904627E-3</v>
      </c>
      <c r="S72" s="2"/>
      <c r="T72" s="7">
        <v>28951.439999999999</v>
      </c>
      <c r="U72" s="2"/>
      <c r="V72" s="6">
        <f t="shared" si="25"/>
        <v>6.6507149335237247E-3</v>
      </c>
      <c r="W72" s="2"/>
      <c r="X72" s="7">
        <f t="shared" si="26"/>
        <v>-16113.439999999999</v>
      </c>
      <c r="Y72" s="2"/>
      <c r="Z72" s="6">
        <f t="shared" si="27"/>
        <v>-0.55656782529642734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>
        <v>502.29</v>
      </c>
      <c r="Q73" s="2"/>
      <c r="R73" s="6">
        <f t="shared" si="24"/>
        <v>1.9033414842406878E-4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502.29</v>
      </c>
      <c r="Y73" s="2"/>
      <c r="Z73" s="6">
        <f t="shared" si="27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7">
        <v>541.22</v>
      </c>
      <c r="E74" s="2"/>
      <c r="F74" s="6">
        <f t="shared" si="20"/>
        <v>6.9313307496766613E-3</v>
      </c>
      <c r="G74" s="2"/>
      <c r="H74" s="7">
        <v>0</v>
      </c>
      <c r="I74" s="2"/>
      <c r="J74" s="6">
        <f t="shared" si="21"/>
        <v>0</v>
      </c>
      <c r="K74" s="2"/>
      <c r="L74" s="7">
        <f t="shared" si="22"/>
        <v>541.22</v>
      </c>
      <c r="M74" s="2"/>
      <c r="N74" s="6">
        <f t="shared" si="23"/>
        <v>0</v>
      </c>
      <c r="O74" s="11"/>
      <c r="P74" s="7">
        <v>21343.18</v>
      </c>
      <c r="Q74" s="2"/>
      <c r="R74" s="6">
        <f t="shared" si="24"/>
        <v>8.0876306316303662E-3</v>
      </c>
      <c r="S74" s="2"/>
      <c r="T74" s="7">
        <v>28540.862499999999</v>
      </c>
      <c r="U74" s="2"/>
      <c r="V74" s="6">
        <f t="shared" si="25"/>
        <v>6.556397210100681E-3</v>
      </c>
      <c r="W74" s="2"/>
      <c r="X74" s="7">
        <f t="shared" si="26"/>
        <v>-7197.682499999999</v>
      </c>
      <c r="Y74" s="2"/>
      <c r="Z74" s="6">
        <f t="shared" si="27"/>
        <v>-0.25218868210447387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7">
        <v>284.89999999999998</v>
      </c>
      <c r="E75" s="2"/>
      <c r="F75" s="6">
        <f t="shared" si="20"/>
        <v>3.6486754565294714E-3</v>
      </c>
      <c r="G75" s="2"/>
      <c r="H75" s="7">
        <v>8604.5625</v>
      </c>
      <c r="I75" s="2"/>
      <c r="J75" s="6">
        <f t="shared" si="21"/>
        <v>4.6857897087093141E-2</v>
      </c>
      <c r="K75" s="2"/>
      <c r="L75" s="7">
        <f t="shared" si="22"/>
        <v>-8319.6625000000004</v>
      </c>
      <c r="M75" s="2"/>
      <c r="N75" s="6">
        <f t="shared" si="23"/>
        <v>-0.96688965882925482</v>
      </c>
      <c r="O75" s="11"/>
      <c r="P75" s="7">
        <v>967.26</v>
      </c>
      <c r="Q75" s="2"/>
      <c r="R75" s="6">
        <f t="shared" si="24"/>
        <v>3.6652652532334862E-4</v>
      </c>
      <c r="S75" s="2"/>
      <c r="T75" s="7">
        <v>65086.256249999999</v>
      </c>
      <c r="U75" s="2"/>
      <c r="V75" s="6">
        <f t="shared" si="25"/>
        <v>1.4951592611940092E-2</v>
      </c>
      <c r="W75" s="2"/>
      <c r="X75" s="7">
        <f t="shared" si="26"/>
        <v>-64118.996249999997</v>
      </c>
      <c r="Y75" s="2"/>
      <c r="Z75" s="6">
        <f t="shared" si="27"/>
        <v>-0.98513879802389148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7"/>
      <c r="E77" s="2"/>
      <c r="F77" s="6">
        <f t="shared" si="20"/>
        <v>0</v>
      </c>
      <c r="G77" s="2"/>
      <c r="H77" s="7">
        <v>0</v>
      </c>
      <c r="I77" s="2"/>
      <c r="J77" s="6">
        <f t="shared" si="21"/>
        <v>0</v>
      </c>
      <c r="K77" s="2"/>
      <c r="L77" s="7">
        <f t="shared" si="22"/>
        <v>0</v>
      </c>
      <c r="M77" s="2"/>
      <c r="N77" s="6">
        <f t="shared" si="23"/>
        <v>0</v>
      </c>
      <c r="O77" s="11"/>
      <c r="P77" s="7"/>
      <c r="Q77" s="2"/>
      <c r="R77" s="6">
        <f t="shared" si="24"/>
        <v>0</v>
      </c>
      <c r="S77" s="2"/>
      <c r="T77" s="7">
        <v>0</v>
      </c>
      <c r="U77" s="2"/>
      <c r="V77" s="6">
        <f t="shared" si="25"/>
        <v>0</v>
      </c>
      <c r="W77" s="2"/>
      <c r="X77" s="7">
        <f t="shared" si="26"/>
        <v>0</v>
      </c>
      <c r="Y77" s="2"/>
      <c r="Z77" s="6">
        <f t="shared" si="27"/>
        <v>0</v>
      </c>
    </row>
    <row r="78" spans="1:26" s="28" customFormat="1" outlineLevel="1" collapsed="1" x14ac:dyDescent="0.25">
      <c r="A78" s="29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</v>
      </c>
      <c r="E78" s="1"/>
      <c r="F78" s="5">
        <f t="shared" ref="F78:F82" si="28">IF(D$12=0,0,D78/D$12)</f>
        <v>0</v>
      </c>
      <c r="G78" s="1"/>
      <c r="H78" s="1">
        <f>SUM(OSRRefH22_2x_0)</f>
        <v>100</v>
      </c>
      <c r="I78" s="1"/>
      <c r="J78" s="5">
        <f t="shared" ref="J78:J82" si="29">IF(H$12=0,0,H78/H$12)</f>
        <v>5.4457036121352055E-4</v>
      </c>
      <c r="K78" s="1"/>
      <c r="L78" s="1">
        <f t="shared" ref="L78:L82" si="30">+D78-H78</f>
        <v>-100</v>
      </c>
      <c r="M78" s="1"/>
      <c r="N78" s="5">
        <f t="shared" ref="N78:N82" si="31">IF(H78=0,0,L78/H78)</f>
        <v>-1</v>
      </c>
      <c r="O78" s="14"/>
      <c r="P78" s="1">
        <f>SUM(OSRRefP22_2x_0)</f>
        <v>1999.55</v>
      </c>
      <c r="Q78" s="1"/>
      <c r="R78" s="5">
        <f t="shared" ref="R78:R82" si="32">IF(P$12=0,0,P78/P$12)</f>
        <v>7.5769504963536349E-4</v>
      </c>
      <c r="S78" s="1"/>
      <c r="T78" s="1">
        <f>SUM(OSRRefT22_2x_0)</f>
        <v>2200</v>
      </c>
      <c r="U78" s="1"/>
      <c r="V78" s="5">
        <f t="shared" ref="V78:V82" si="33">IF(T$12=0,0,T78/T$12)</f>
        <v>5.0538325049642415E-4</v>
      </c>
      <c r="W78" s="1"/>
      <c r="X78" s="1">
        <f t="shared" ref="X78:X82" si="34">+P78-T78</f>
        <v>-200.45000000000005</v>
      </c>
      <c r="Y78" s="1"/>
      <c r="Z78" s="5">
        <f t="shared" ref="Z78:Z82" si="35">IF(T78=0,0,X78/T78)</f>
        <v>-9.1113636363636383E-2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7"/>
      <c r="E79" s="2"/>
      <c r="F79" s="6">
        <f t="shared" si="28"/>
        <v>0</v>
      </c>
      <c r="G79" s="2"/>
      <c r="H79" s="7">
        <v>100</v>
      </c>
      <c r="I79" s="2"/>
      <c r="J79" s="6">
        <f t="shared" si="29"/>
        <v>5.4457036121352055E-4</v>
      </c>
      <c r="K79" s="2"/>
      <c r="L79" s="7">
        <f t="shared" si="30"/>
        <v>-100</v>
      </c>
      <c r="M79" s="2"/>
      <c r="N79" s="6">
        <f t="shared" si="31"/>
        <v>-1</v>
      </c>
      <c r="O79" s="11"/>
      <c r="P79" s="7">
        <v>1999.55</v>
      </c>
      <c r="Q79" s="2"/>
      <c r="R79" s="6">
        <f t="shared" si="32"/>
        <v>7.5769504963536349E-4</v>
      </c>
      <c r="S79" s="2"/>
      <c r="T79" s="7">
        <v>2200</v>
      </c>
      <c r="U79" s="2"/>
      <c r="V79" s="6">
        <f t="shared" si="33"/>
        <v>5.0538325049642415E-4</v>
      </c>
      <c r="W79" s="2"/>
      <c r="X79" s="7">
        <f t="shared" si="34"/>
        <v>-200.45000000000005</v>
      </c>
      <c r="Y79" s="2"/>
      <c r="Z79" s="6">
        <f t="shared" si="35"/>
        <v>-9.1113636363636383E-2</v>
      </c>
    </row>
    <row r="80" spans="1:26" s="28" customFormat="1" outlineLevel="1" collapsed="1" x14ac:dyDescent="0.25">
      <c r="A80" s="29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42.86</v>
      </c>
      <c r="E80" s="1"/>
      <c r="F80" s="5">
        <f t="shared" si="28"/>
        <v>5.4890217643683106E-4</v>
      </c>
      <c r="G80" s="1"/>
      <c r="H80" s="1">
        <f>SUM(OSRRefH22_3x_0)</f>
        <v>1200</v>
      </c>
      <c r="I80" s="1"/>
      <c r="J80" s="5">
        <f t="shared" si="29"/>
        <v>6.5348443345622474E-3</v>
      </c>
      <c r="K80" s="1"/>
      <c r="L80" s="1">
        <f t="shared" si="30"/>
        <v>-1157.1400000000001</v>
      </c>
      <c r="M80" s="1"/>
      <c r="N80" s="5">
        <f t="shared" si="31"/>
        <v>-0.96428333333333338</v>
      </c>
      <c r="O80" s="14"/>
      <c r="P80" s="1">
        <f>SUM(OSRRefP22_3x_0)</f>
        <v>0</v>
      </c>
      <c r="Q80" s="1"/>
      <c r="R80" s="5">
        <f t="shared" si="32"/>
        <v>0</v>
      </c>
      <c r="S80" s="1"/>
      <c r="T80" s="1">
        <f>SUM(OSRRefT22_3x_0)</f>
        <v>14700</v>
      </c>
      <c r="U80" s="1"/>
      <c r="V80" s="5">
        <f t="shared" si="33"/>
        <v>3.3768789919533799E-3</v>
      </c>
      <c r="W80" s="1"/>
      <c r="X80" s="1">
        <f t="shared" si="34"/>
        <v>-14700</v>
      </c>
      <c r="Y80" s="1"/>
      <c r="Z80" s="5">
        <f t="shared" si="35"/>
        <v>-1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7"/>
      <c r="E81" s="2"/>
      <c r="F81" s="6">
        <f t="shared" si="28"/>
        <v>0</v>
      </c>
      <c r="G81" s="2"/>
      <c r="H81" s="7">
        <v>1200</v>
      </c>
      <c r="I81" s="2"/>
      <c r="J81" s="6">
        <f t="shared" si="29"/>
        <v>6.5348443345622474E-3</v>
      </c>
      <c r="K81" s="2"/>
      <c r="L81" s="7">
        <f t="shared" si="30"/>
        <v>-1200</v>
      </c>
      <c r="M81" s="2"/>
      <c r="N81" s="6">
        <f t="shared" si="31"/>
        <v>-1</v>
      </c>
      <c r="O81" s="11"/>
      <c r="P81" s="7"/>
      <c r="Q81" s="2"/>
      <c r="R81" s="6">
        <f t="shared" si="32"/>
        <v>0</v>
      </c>
      <c r="S81" s="2"/>
      <c r="T81" s="7">
        <v>14700</v>
      </c>
      <c r="U81" s="2"/>
      <c r="V81" s="6">
        <f t="shared" si="33"/>
        <v>3.3768789919533799E-3</v>
      </c>
      <c r="W81" s="2"/>
      <c r="X81" s="7">
        <f t="shared" si="34"/>
        <v>-14700</v>
      </c>
      <c r="Y81" s="2"/>
      <c r="Z81" s="6">
        <f t="shared" si="35"/>
        <v>-1</v>
      </c>
    </row>
    <row r="82" spans="1:26" s="24" customFormat="1" hidden="1" outlineLevel="2" x14ac:dyDescent="0.25">
      <c r="A82" s="27"/>
      <c r="B82" s="11" t="str">
        <f>CONCATENATE("          ", "9175", " - ", "EARNED DISCOUNTS")</f>
        <v xml:space="preserve">          9175 - EARNED DISCOUNTS</v>
      </c>
      <c r="C82" s="11"/>
      <c r="D82" s="7">
        <v>42.86</v>
      </c>
      <c r="E82" s="2"/>
      <c r="F82" s="6">
        <f t="shared" si="28"/>
        <v>5.4890217643683106E-4</v>
      </c>
      <c r="G82" s="2"/>
      <c r="H82" s="7"/>
      <c r="I82" s="2"/>
      <c r="J82" s="6">
        <f t="shared" si="29"/>
        <v>0</v>
      </c>
      <c r="K82" s="2"/>
      <c r="L82" s="7">
        <f t="shared" si="30"/>
        <v>42.86</v>
      </c>
      <c r="M82" s="2"/>
      <c r="N82" s="6">
        <f t="shared" si="31"/>
        <v>0</v>
      </c>
      <c r="O82" s="11"/>
      <c r="P82" s="7">
        <v>0</v>
      </c>
      <c r="Q82" s="2"/>
      <c r="R82" s="6">
        <f t="shared" si="32"/>
        <v>0</v>
      </c>
      <c r="S82" s="2"/>
      <c r="T82" s="7"/>
      <c r="U82" s="2"/>
      <c r="V82" s="6">
        <f t="shared" si="33"/>
        <v>0</v>
      </c>
      <c r="W82" s="2"/>
      <c r="X82" s="7">
        <f t="shared" si="34"/>
        <v>0</v>
      </c>
      <c r="Y82" s="2"/>
      <c r="Z82" s="6">
        <f t="shared" si="35"/>
        <v>0</v>
      </c>
    </row>
    <row r="83" spans="1:26" s="28" customFormat="1" outlineLevel="1" collapsed="1" x14ac:dyDescent="0.25">
      <c r="A83" s="29"/>
      <c r="B83" s="14" t="str">
        <f>CONCATENATE("     ","Employees' Appreciation                           ")</f>
        <v xml:space="preserve">     Employees' Appreciation                           </v>
      </c>
      <c r="C83" s="14"/>
      <c r="D83" s="1">
        <f>SUM(OSRRefD22_4x_0)</f>
        <v>0</v>
      </c>
      <c r="E83" s="1"/>
      <c r="F83" s="5">
        <f t="shared" ref="F83:F89" si="36">IF(D$12=0,0,D83/D$12)</f>
        <v>0</v>
      </c>
      <c r="G83" s="1"/>
      <c r="H83" s="1">
        <f>SUM(OSRRefH22_4x_0)</f>
        <v>75</v>
      </c>
      <c r="I83" s="1"/>
      <c r="J83" s="5">
        <f t="shared" ref="J83:J89" si="37">IF(H$12=0,0,H83/H$12)</f>
        <v>4.0842777091014046E-4</v>
      </c>
      <c r="K83" s="1"/>
      <c r="L83" s="1">
        <f t="shared" ref="L83:L89" si="38">+D83-H83</f>
        <v>-75</v>
      </c>
      <c r="M83" s="1"/>
      <c r="N83" s="5">
        <f t="shared" ref="N83:N89" si="39">IF(H83=0,0,L83/H83)</f>
        <v>-1</v>
      </c>
      <c r="O83" s="14"/>
      <c r="P83" s="1">
        <f>SUM(OSRRefP22_4x_0)</f>
        <v>107.7</v>
      </c>
      <c r="Q83" s="1"/>
      <c r="R83" s="5">
        <f t="shared" ref="R83:R89" si="40">IF(P$12=0,0,P83/P$12)</f>
        <v>4.0811060911569428E-5</v>
      </c>
      <c r="S83" s="1"/>
      <c r="T83" s="1">
        <f>SUM(OSRRefT22_4x_0)</f>
        <v>600</v>
      </c>
      <c r="U83" s="1"/>
      <c r="V83" s="5">
        <f t="shared" ref="V83:V89" si="41">IF(T$12=0,0,T83/T$12)</f>
        <v>1.3783179558993387E-4</v>
      </c>
      <c r="W83" s="1"/>
      <c r="X83" s="1">
        <f t="shared" ref="X83:X89" si="42">+P83-T83</f>
        <v>-492.3</v>
      </c>
      <c r="Y83" s="1"/>
      <c r="Z83" s="5">
        <f t="shared" ref="Z83:Z89" si="43">IF(T83=0,0,X83/T83)</f>
        <v>-0.82050000000000001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36"/>
        <v>0</v>
      </c>
      <c r="G84" s="2"/>
      <c r="H84" s="7">
        <v>75</v>
      </c>
      <c r="I84" s="2"/>
      <c r="J84" s="6">
        <f t="shared" si="37"/>
        <v>4.0842777091014046E-4</v>
      </c>
      <c r="K84" s="2"/>
      <c r="L84" s="7">
        <f t="shared" si="38"/>
        <v>-75</v>
      </c>
      <c r="M84" s="2"/>
      <c r="N84" s="6">
        <f t="shared" si="39"/>
        <v>-1</v>
      </c>
      <c r="O84" s="11"/>
      <c r="P84" s="7">
        <v>107.7</v>
      </c>
      <c r="Q84" s="2"/>
      <c r="R84" s="6">
        <f t="shared" si="40"/>
        <v>4.0811060911569428E-5</v>
      </c>
      <c r="S84" s="2"/>
      <c r="T84" s="7">
        <v>600</v>
      </c>
      <c r="U84" s="2"/>
      <c r="V84" s="6">
        <f t="shared" si="41"/>
        <v>1.3783179558993387E-4</v>
      </c>
      <c r="W84" s="2"/>
      <c r="X84" s="7">
        <f t="shared" si="42"/>
        <v>-492.3</v>
      </c>
      <c r="Y84" s="2"/>
      <c r="Z84" s="6">
        <f t="shared" si="43"/>
        <v>-0.82050000000000001</v>
      </c>
    </row>
    <row r="85" spans="1:26" s="28" customFormat="1" outlineLevel="1" collapsed="1" x14ac:dyDescent="0.25">
      <c r="A85" s="29"/>
      <c r="B85" s="14" t="str">
        <f>CONCATENATE("     ","Equipment Rental                                  ")</f>
        <v xml:space="preserve">     Equipment Rental                                  </v>
      </c>
      <c r="C85" s="14"/>
      <c r="D85" s="1">
        <f>SUM(OSRRefD22_5x_0)</f>
        <v>91.26</v>
      </c>
      <c r="E85" s="1"/>
      <c r="F85" s="5">
        <f t="shared" si="36"/>
        <v>1.168754377546085E-3</v>
      </c>
      <c r="G85" s="1"/>
      <c r="H85" s="1">
        <f>SUM(OSRRefH22_5x_0)</f>
        <v>100</v>
      </c>
      <c r="I85" s="1"/>
      <c r="J85" s="5">
        <f t="shared" si="37"/>
        <v>5.4457036121352055E-4</v>
      </c>
      <c r="K85" s="1"/>
      <c r="L85" s="1">
        <f t="shared" si="38"/>
        <v>-8.7399999999999949</v>
      </c>
      <c r="M85" s="1"/>
      <c r="N85" s="5">
        <f t="shared" si="39"/>
        <v>-8.739999999999995E-2</v>
      </c>
      <c r="O85" s="14"/>
      <c r="P85" s="1">
        <f>SUM(OSRRefP22_5x_0)</f>
        <v>730.08</v>
      </c>
      <c r="Q85" s="1"/>
      <c r="R85" s="5">
        <f t="shared" si="40"/>
        <v>2.7665124744956924E-4</v>
      </c>
      <c r="S85" s="1"/>
      <c r="T85" s="1">
        <f>SUM(OSRRefT22_5x_0)</f>
        <v>800</v>
      </c>
      <c r="U85" s="1"/>
      <c r="V85" s="5">
        <f t="shared" si="41"/>
        <v>1.8377572745324517E-4</v>
      </c>
      <c r="W85" s="1"/>
      <c r="X85" s="1">
        <f t="shared" si="42"/>
        <v>-69.919999999999959</v>
      </c>
      <c r="Y85" s="1"/>
      <c r="Z85" s="5">
        <f t="shared" si="43"/>
        <v>-8.739999999999995E-2</v>
      </c>
    </row>
    <row r="86" spans="1:26" s="24" customFormat="1" hidden="1" outlineLevel="2" x14ac:dyDescent="0.25">
      <c r="A86" s="27"/>
      <c r="B86" s="11" t="str">
        <f>CONCATENATE("          ", "6351", " - ", "EQUIPMENT RENTAL")</f>
        <v xml:space="preserve">          6351 - EQUIPMENT RENTAL</v>
      </c>
      <c r="C86" s="11"/>
      <c r="D86" s="7">
        <v>91.26</v>
      </c>
      <c r="E86" s="2"/>
      <c r="F86" s="6">
        <f t="shared" si="36"/>
        <v>1.168754377546085E-3</v>
      </c>
      <c r="G86" s="2"/>
      <c r="H86" s="7">
        <v>100</v>
      </c>
      <c r="I86" s="2"/>
      <c r="J86" s="6">
        <f t="shared" si="37"/>
        <v>5.4457036121352055E-4</v>
      </c>
      <c r="K86" s="2"/>
      <c r="L86" s="7">
        <f t="shared" si="38"/>
        <v>-8.7399999999999949</v>
      </c>
      <c r="M86" s="2"/>
      <c r="N86" s="6">
        <f t="shared" si="39"/>
        <v>-8.739999999999995E-2</v>
      </c>
      <c r="O86" s="11"/>
      <c r="P86" s="7">
        <v>730.08</v>
      </c>
      <c r="Q86" s="2"/>
      <c r="R86" s="6">
        <f t="shared" si="40"/>
        <v>2.7665124744956924E-4</v>
      </c>
      <c r="S86" s="2"/>
      <c r="T86" s="7">
        <v>800</v>
      </c>
      <c r="U86" s="2"/>
      <c r="V86" s="6">
        <f t="shared" si="41"/>
        <v>1.8377572745324517E-4</v>
      </c>
      <c r="W86" s="2"/>
      <c r="X86" s="7">
        <f t="shared" si="42"/>
        <v>-69.919999999999959</v>
      </c>
      <c r="Y86" s="2"/>
      <c r="Z86" s="6">
        <f t="shared" si="43"/>
        <v>-8.739999999999995E-2</v>
      </c>
    </row>
    <row r="87" spans="1:26" s="28" customFormat="1" outlineLevel="1" collapsed="1" x14ac:dyDescent="0.25">
      <c r="A87" s="29"/>
      <c r="B87" s="14" t="str">
        <f>CONCATENATE("     ","Freight out/Postage                               ")</f>
        <v xml:space="preserve">     Freight out/Postage                               </v>
      </c>
      <c r="C87" s="14"/>
      <c r="D87" s="1">
        <f>SUM(OSRRefD22_6x_0)</f>
        <v>1294.28</v>
      </c>
      <c r="E87" s="1"/>
      <c r="F87" s="5">
        <f t="shared" si="36"/>
        <v>1.6575667496935644E-2</v>
      </c>
      <c r="G87" s="1"/>
      <c r="H87" s="1">
        <f>SUM(OSRRefH22_6x_0)</f>
        <v>2200</v>
      </c>
      <c r="I87" s="1"/>
      <c r="J87" s="5">
        <f t="shared" si="37"/>
        <v>1.1980547946697452E-2</v>
      </c>
      <c r="K87" s="1"/>
      <c r="L87" s="1">
        <f t="shared" si="38"/>
        <v>-905.72</v>
      </c>
      <c r="M87" s="1"/>
      <c r="N87" s="5">
        <f t="shared" si="39"/>
        <v>-0.41169090909090911</v>
      </c>
      <c r="O87" s="14"/>
      <c r="P87" s="1">
        <f>SUM(OSRRefP22_6x_0)</f>
        <v>10464.33</v>
      </c>
      <c r="Q87" s="1"/>
      <c r="R87" s="5">
        <f t="shared" si="40"/>
        <v>3.9652777068594552E-3</v>
      </c>
      <c r="S87" s="1"/>
      <c r="T87" s="1">
        <f>SUM(OSRRefT22_6x_0)</f>
        <v>15700</v>
      </c>
      <c r="U87" s="1"/>
      <c r="V87" s="5">
        <f t="shared" si="41"/>
        <v>3.6065986512699363E-3</v>
      </c>
      <c r="W87" s="1"/>
      <c r="X87" s="1">
        <f t="shared" si="42"/>
        <v>-5235.67</v>
      </c>
      <c r="Y87" s="1"/>
      <c r="Z87" s="5">
        <f t="shared" si="43"/>
        <v>-0.33348216560509553</v>
      </c>
    </row>
    <row r="88" spans="1:26" s="24" customFormat="1" hidden="1" outlineLevel="2" x14ac:dyDescent="0.25">
      <c r="A88" s="27"/>
      <c r="B88" s="11" t="str">
        <f>CONCATENATE("          ", "6305", " - ", "FREIGHT OUT")</f>
        <v xml:space="preserve">          6305 - FREIGHT OUT</v>
      </c>
      <c r="C88" s="11"/>
      <c r="D88" s="7">
        <v>1294.28</v>
      </c>
      <c r="E88" s="2"/>
      <c r="F88" s="6">
        <f t="shared" si="36"/>
        <v>1.6575667496935644E-2</v>
      </c>
      <c r="G88" s="2"/>
      <c r="H88" s="7">
        <v>2200</v>
      </c>
      <c r="I88" s="2"/>
      <c r="J88" s="6">
        <f t="shared" si="37"/>
        <v>1.1980547946697452E-2</v>
      </c>
      <c r="K88" s="2"/>
      <c r="L88" s="7">
        <f t="shared" si="38"/>
        <v>-905.72</v>
      </c>
      <c r="M88" s="2"/>
      <c r="N88" s="6">
        <f t="shared" si="39"/>
        <v>-0.41169090909090911</v>
      </c>
      <c r="O88" s="11"/>
      <c r="P88" s="7">
        <v>10463.83</v>
      </c>
      <c r="Q88" s="2"/>
      <c r="R88" s="6">
        <f t="shared" si="40"/>
        <v>3.9650882404671075E-3</v>
      </c>
      <c r="S88" s="2"/>
      <c r="T88" s="7">
        <v>15700</v>
      </c>
      <c r="U88" s="2"/>
      <c r="V88" s="6">
        <f t="shared" si="41"/>
        <v>3.6065986512699363E-3</v>
      </c>
      <c r="W88" s="2"/>
      <c r="X88" s="7">
        <f t="shared" si="42"/>
        <v>-5236.17</v>
      </c>
      <c r="Y88" s="2"/>
      <c r="Z88" s="6">
        <f t="shared" si="43"/>
        <v>-0.3335140127388535</v>
      </c>
    </row>
    <row r="89" spans="1:26" s="24" customFormat="1" hidden="1" outlineLevel="2" x14ac:dyDescent="0.25">
      <c r="A89" s="27"/>
      <c r="B89" s="11" t="str">
        <f>CONCATENATE("          ", "6307", " - ", "POSTAGE")</f>
        <v xml:space="preserve">          6307 - POSTAGE</v>
      </c>
      <c r="C89" s="11"/>
      <c r="D89" s="7"/>
      <c r="E89" s="2"/>
      <c r="F89" s="6">
        <f t="shared" si="36"/>
        <v>0</v>
      </c>
      <c r="G89" s="2"/>
      <c r="H89" s="7"/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0.5</v>
      </c>
      <c r="Q89" s="2"/>
      <c r="R89" s="6">
        <f t="shared" si="40"/>
        <v>1.8946639234711898E-7</v>
      </c>
      <c r="S89" s="2"/>
      <c r="T89" s="7"/>
      <c r="U89" s="2"/>
      <c r="V89" s="6">
        <f t="shared" si="41"/>
        <v>0</v>
      </c>
      <c r="W89" s="2"/>
      <c r="X89" s="7">
        <f t="shared" si="42"/>
        <v>0.5</v>
      </c>
      <c r="Y89" s="2"/>
      <c r="Z89" s="6">
        <f t="shared" si="43"/>
        <v>0</v>
      </c>
    </row>
    <row r="90" spans="1:26" s="28" customFormat="1" outlineLevel="1" collapsed="1" x14ac:dyDescent="0.25">
      <c r="A90" s="29"/>
      <c r="B90" s="14" t="str">
        <f>CONCATENATE("     ","General                                           ")</f>
        <v xml:space="preserve">     General                                           </v>
      </c>
      <c r="C90" s="14"/>
      <c r="D90" s="1">
        <f>SUM(OSRRefD22_7x_0)</f>
        <v>-4.21</v>
      </c>
      <c r="E90" s="1"/>
      <c r="F90" s="5">
        <f t="shared" ref="F90:F92" si="44">IF(D$12=0,0,D90/D$12)</f>
        <v>-5.3916896005577659E-5</v>
      </c>
      <c r="G90" s="1"/>
      <c r="H90" s="1">
        <f>SUM(OSRRefH22_7x_0)</f>
        <v>125</v>
      </c>
      <c r="I90" s="1"/>
      <c r="J90" s="5">
        <f t="shared" ref="J90:J92" si="45">IF(H$12=0,0,H90/H$12)</f>
        <v>6.8071295151690074E-4</v>
      </c>
      <c r="K90" s="1"/>
      <c r="L90" s="1">
        <f t="shared" ref="L90:L92" si="46">+D90-H90</f>
        <v>-129.21</v>
      </c>
      <c r="M90" s="1"/>
      <c r="N90" s="5">
        <f t="shared" ref="N90:N92" si="47">IF(H90=0,0,L90/H90)</f>
        <v>-1.0336800000000002</v>
      </c>
      <c r="O90" s="14"/>
      <c r="P90" s="1">
        <f>SUM(OSRRefP22_7x_0)</f>
        <v>-1042.03</v>
      </c>
      <c r="Q90" s="1"/>
      <c r="R90" s="5">
        <f t="shared" ref="R90:R92" si="48">IF(P$12=0,0,P90/P$12)</f>
        <v>-3.9485932963493676E-4</v>
      </c>
      <c r="S90" s="1"/>
      <c r="T90" s="1">
        <f>SUM(OSRRefT22_7x_0)</f>
        <v>1500</v>
      </c>
      <c r="U90" s="1"/>
      <c r="V90" s="5">
        <f t="shared" ref="V90:V92" si="49">IF(T$12=0,0,T90/T$12)</f>
        <v>3.4457948897483466E-4</v>
      </c>
      <c r="W90" s="1"/>
      <c r="X90" s="1">
        <f t="shared" ref="X90:X92" si="50">+P90-T90</f>
        <v>-2542.0299999999997</v>
      </c>
      <c r="Y90" s="1"/>
      <c r="Z90" s="5">
        <f t="shared" ref="Z90:Z92" si="51">IF(T90=0,0,X90/T90)</f>
        <v>-1.6946866666666665</v>
      </c>
    </row>
    <row r="91" spans="1:26" s="24" customFormat="1" hidden="1" outlineLevel="2" x14ac:dyDescent="0.25">
      <c r="A91" s="27"/>
      <c r="B91" s="11" t="str">
        <f>CONCATENATE("          ", "6269", " - ", "ENTERTAINMENT")</f>
        <v xml:space="preserve">          6269 - ENTERTAINMENT</v>
      </c>
      <c r="C91" s="11"/>
      <c r="D91" s="7"/>
      <c r="E91" s="2"/>
      <c r="F91" s="6">
        <f t="shared" si="44"/>
        <v>0</v>
      </c>
      <c r="G91" s="2"/>
      <c r="H91" s="7">
        <v>125</v>
      </c>
      <c r="I91" s="2"/>
      <c r="J91" s="6">
        <f t="shared" si="45"/>
        <v>6.8071295151690074E-4</v>
      </c>
      <c r="K91" s="2"/>
      <c r="L91" s="7">
        <f t="shared" si="46"/>
        <v>-125</v>
      </c>
      <c r="M91" s="2"/>
      <c r="N91" s="6">
        <f t="shared" si="47"/>
        <v>-1</v>
      </c>
      <c r="O91" s="11"/>
      <c r="P91" s="7"/>
      <c r="Q91" s="2"/>
      <c r="R91" s="6">
        <f t="shared" si="48"/>
        <v>0</v>
      </c>
      <c r="S91" s="2"/>
      <c r="T91" s="7">
        <v>1500</v>
      </c>
      <c r="U91" s="2"/>
      <c r="V91" s="6">
        <f t="shared" si="49"/>
        <v>3.4457948897483466E-4</v>
      </c>
      <c r="W91" s="2"/>
      <c r="X91" s="7">
        <f t="shared" si="50"/>
        <v>-1500</v>
      </c>
      <c r="Y91" s="2"/>
      <c r="Z91" s="6">
        <f t="shared" si="51"/>
        <v>-1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7">
        <v>-4.21</v>
      </c>
      <c r="E92" s="2"/>
      <c r="F92" s="6">
        <f t="shared" si="44"/>
        <v>-5.3916896005577659E-5</v>
      </c>
      <c r="G92" s="2"/>
      <c r="H92" s="7"/>
      <c r="I92" s="2"/>
      <c r="J92" s="6">
        <f t="shared" si="45"/>
        <v>0</v>
      </c>
      <c r="K92" s="2"/>
      <c r="L92" s="7">
        <f t="shared" si="46"/>
        <v>-4.21</v>
      </c>
      <c r="M92" s="2"/>
      <c r="N92" s="6">
        <f t="shared" si="47"/>
        <v>0</v>
      </c>
      <c r="O92" s="11"/>
      <c r="P92" s="7">
        <v>-1042.03</v>
      </c>
      <c r="Q92" s="2"/>
      <c r="R92" s="6">
        <f t="shared" si="48"/>
        <v>-3.9485932963493676E-4</v>
      </c>
      <c r="S92" s="2"/>
      <c r="T92" s="7"/>
      <c r="U92" s="2"/>
      <c r="V92" s="6">
        <f t="shared" si="49"/>
        <v>0</v>
      </c>
      <c r="W92" s="2"/>
      <c r="X92" s="7">
        <f t="shared" si="50"/>
        <v>-1042.03</v>
      </c>
      <c r="Y92" s="2"/>
      <c r="Z92" s="6">
        <f t="shared" si="51"/>
        <v>0</v>
      </c>
    </row>
    <row r="93" spans="1:26" s="28" customFormat="1" outlineLevel="1" collapsed="1" x14ac:dyDescent="0.25">
      <c r="A93" s="29"/>
      <c r="B93" s="14" t="str">
        <f>CONCATENATE("     ","Inventory Adjustment                              ")</f>
        <v xml:space="preserve">     Inventory Adjustment                              </v>
      </c>
      <c r="C93" s="14"/>
      <c r="D93" s="1">
        <f>SUM(OSRRefD22_8x_0)</f>
        <v>1000</v>
      </c>
      <c r="E93" s="1"/>
      <c r="F93" s="5">
        <f t="shared" ref="F93:F97" si="52">IF(D$12=0,0,D93/D$12)</f>
        <v>1.2806863659282105E-2</v>
      </c>
      <c r="G93" s="1"/>
      <c r="H93" s="1">
        <f>SUM(OSRRefH22_8x_0)</f>
        <v>1000</v>
      </c>
      <c r="I93" s="1"/>
      <c r="J93" s="5">
        <f t="shared" ref="J93:J97" si="53">IF(H$12=0,0,H93/H$12)</f>
        <v>5.4457036121352059E-3</v>
      </c>
      <c r="K93" s="1"/>
      <c r="L93" s="1">
        <f t="shared" ref="L93:L97" si="54">+D93-H93</f>
        <v>0</v>
      </c>
      <c r="M93" s="1"/>
      <c r="N93" s="5">
        <f t="shared" ref="N93:N97" si="55">IF(H93=0,0,L93/H93)</f>
        <v>0</v>
      </c>
      <c r="O93" s="14"/>
      <c r="P93" s="1">
        <f>SUM(OSRRefP22_8x_0)</f>
        <v>13000</v>
      </c>
      <c r="Q93" s="1"/>
      <c r="R93" s="5">
        <f t="shared" ref="R93:R97" si="56">IF(P$12=0,0,P93/P$12)</f>
        <v>4.9261262010250936E-3</v>
      </c>
      <c r="S93" s="1"/>
      <c r="T93" s="1">
        <f>SUM(OSRRefT22_8x_0)</f>
        <v>13000</v>
      </c>
      <c r="U93" s="1"/>
      <c r="V93" s="5">
        <f t="shared" ref="V93:V97" si="57">IF(T$12=0,0,T93/T$12)</f>
        <v>2.9863555711152337E-3</v>
      </c>
      <c r="W93" s="1"/>
      <c r="X93" s="1">
        <f t="shared" ref="X93:X97" si="58">+P93-T93</f>
        <v>0</v>
      </c>
      <c r="Y93" s="1"/>
      <c r="Z93" s="5">
        <f t="shared" ref="Z93:Z97" si="59">IF(T93=0,0,X93/T93)</f>
        <v>0</v>
      </c>
    </row>
    <row r="94" spans="1:26" s="24" customFormat="1" hidden="1" outlineLevel="2" x14ac:dyDescent="0.25">
      <c r="A94" s="27"/>
      <c r="B94" s="11" t="str">
        <f>CONCATENATE("          ", "6408", " - ", "INVENTORY ADJUSTMENT")</f>
        <v xml:space="preserve">          6408 - INVENTORY ADJUSTMENT</v>
      </c>
      <c r="C94" s="11"/>
      <c r="D94" s="7">
        <v>1000</v>
      </c>
      <c r="E94" s="2"/>
      <c r="F94" s="6">
        <f t="shared" si="52"/>
        <v>1.2806863659282105E-2</v>
      </c>
      <c r="G94" s="2"/>
      <c r="H94" s="7">
        <v>1000</v>
      </c>
      <c r="I94" s="2"/>
      <c r="J94" s="6">
        <f t="shared" si="53"/>
        <v>5.4457036121352059E-3</v>
      </c>
      <c r="K94" s="2"/>
      <c r="L94" s="7">
        <f t="shared" si="54"/>
        <v>0</v>
      </c>
      <c r="M94" s="2"/>
      <c r="N94" s="6">
        <f t="shared" si="55"/>
        <v>0</v>
      </c>
      <c r="O94" s="11"/>
      <c r="P94" s="7">
        <v>13000</v>
      </c>
      <c r="Q94" s="2"/>
      <c r="R94" s="6">
        <f t="shared" si="56"/>
        <v>4.9261262010250936E-3</v>
      </c>
      <c r="S94" s="2"/>
      <c r="T94" s="7">
        <v>13000</v>
      </c>
      <c r="U94" s="2"/>
      <c r="V94" s="6">
        <f t="shared" si="57"/>
        <v>2.9863555711152337E-3</v>
      </c>
      <c r="W94" s="2"/>
      <c r="X94" s="7">
        <f t="shared" si="58"/>
        <v>0</v>
      </c>
      <c r="Y94" s="2"/>
      <c r="Z94" s="6">
        <f t="shared" si="59"/>
        <v>0</v>
      </c>
    </row>
    <row r="95" spans="1:26" s="28" customFormat="1" outlineLevel="1" collapsed="1" x14ac:dyDescent="0.25">
      <c r="A95" s="29"/>
      <c r="B95" s="14" t="str">
        <f>CONCATENATE("     ","Repair and Maintenance                            ")</f>
        <v xml:space="preserve">     Repair and Maintenance                            </v>
      </c>
      <c r="C95" s="14"/>
      <c r="D95" s="1">
        <f>SUM(OSRRefD22_9x_0)</f>
        <v>15.47</v>
      </c>
      <c r="E95" s="1"/>
      <c r="F95" s="5">
        <f t="shared" si="52"/>
        <v>1.9812218080909416E-4</v>
      </c>
      <c r="G95" s="1"/>
      <c r="H95" s="1">
        <f>SUM(OSRRefH22_9x_0)</f>
        <v>140</v>
      </c>
      <c r="I95" s="1"/>
      <c r="J95" s="5">
        <f t="shared" si="53"/>
        <v>7.6239850569892887E-4</v>
      </c>
      <c r="K95" s="1"/>
      <c r="L95" s="1">
        <f t="shared" si="54"/>
        <v>-124.53</v>
      </c>
      <c r="M95" s="1"/>
      <c r="N95" s="5">
        <f t="shared" si="55"/>
        <v>-0.88949999999999996</v>
      </c>
      <c r="O95" s="14"/>
      <c r="P95" s="1">
        <f>SUM(OSRRefP22_9x_0)</f>
        <v>182.85000000000002</v>
      </c>
      <c r="Q95" s="1"/>
      <c r="R95" s="5">
        <f t="shared" si="56"/>
        <v>6.9287859681341416E-5</v>
      </c>
      <c r="S95" s="1"/>
      <c r="T95" s="1">
        <f>SUM(OSRRefT22_9x_0)</f>
        <v>1120</v>
      </c>
      <c r="U95" s="1"/>
      <c r="V95" s="5">
        <f t="shared" si="57"/>
        <v>2.5728601843454324E-4</v>
      </c>
      <c r="W95" s="1"/>
      <c r="X95" s="1">
        <f t="shared" si="58"/>
        <v>-937.15</v>
      </c>
      <c r="Y95" s="1"/>
      <c r="Z95" s="5">
        <f t="shared" si="59"/>
        <v>-0.83674107142857146</v>
      </c>
    </row>
    <row r="96" spans="1:26" s="24" customFormat="1" hidden="1" outlineLevel="2" x14ac:dyDescent="0.25">
      <c r="A96" s="27"/>
      <c r="B96" s="11" t="str">
        <f>CONCATENATE("          ", "6373", " - ", "MAINTENANCE CONTRACTS")</f>
        <v xml:space="preserve">          6373 - MAINTENANCE CONTRACTS</v>
      </c>
      <c r="C96" s="11"/>
      <c r="D96" s="7">
        <v>15.47</v>
      </c>
      <c r="E96" s="2"/>
      <c r="F96" s="6">
        <f t="shared" si="52"/>
        <v>1.9812218080909416E-4</v>
      </c>
      <c r="G96" s="2"/>
      <c r="H96" s="7">
        <v>40</v>
      </c>
      <c r="I96" s="2"/>
      <c r="J96" s="6">
        <f t="shared" si="53"/>
        <v>2.1782814448540825E-4</v>
      </c>
      <c r="K96" s="2"/>
      <c r="L96" s="7">
        <f t="shared" si="54"/>
        <v>-24.53</v>
      </c>
      <c r="M96" s="2"/>
      <c r="N96" s="6">
        <f t="shared" si="55"/>
        <v>-0.61325000000000007</v>
      </c>
      <c r="O96" s="11"/>
      <c r="P96" s="7">
        <v>157.74</v>
      </c>
      <c r="Q96" s="2"/>
      <c r="R96" s="6">
        <f t="shared" si="56"/>
        <v>5.97728574576691E-5</v>
      </c>
      <c r="S96" s="2"/>
      <c r="T96" s="7">
        <v>320</v>
      </c>
      <c r="U96" s="2"/>
      <c r="V96" s="6">
        <f t="shared" si="57"/>
        <v>7.3510290981298063E-5</v>
      </c>
      <c r="W96" s="2"/>
      <c r="X96" s="7">
        <f t="shared" si="58"/>
        <v>-162.26</v>
      </c>
      <c r="Y96" s="2"/>
      <c r="Z96" s="6">
        <f t="shared" si="59"/>
        <v>-0.50706249999999997</v>
      </c>
    </row>
    <row r="97" spans="1:26" s="24" customFormat="1" hidden="1" outlineLevel="2" x14ac:dyDescent="0.25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52"/>
        <v>0</v>
      </c>
      <c r="G97" s="2"/>
      <c r="H97" s="7">
        <v>100</v>
      </c>
      <c r="I97" s="2"/>
      <c r="J97" s="6">
        <f t="shared" si="53"/>
        <v>5.4457036121352055E-4</v>
      </c>
      <c r="K97" s="2"/>
      <c r="L97" s="7">
        <f t="shared" si="54"/>
        <v>-100</v>
      </c>
      <c r="M97" s="2"/>
      <c r="N97" s="6">
        <f t="shared" si="55"/>
        <v>-1</v>
      </c>
      <c r="O97" s="11"/>
      <c r="P97" s="7">
        <v>25.11</v>
      </c>
      <c r="Q97" s="2"/>
      <c r="R97" s="6">
        <f t="shared" si="56"/>
        <v>9.5150022236723143E-6</v>
      </c>
      <c r="S97" s="2"/>
      <c r="T97" s="7">
        <v>800</v>
      </c>
      <c r="U97" s="2"/>
      <c r="V97" s="6">
        <f t="shared" si="57"/>
        <v>1.8377572745324517E-4</v>
      </c>
      <c r="W97" s="2"/>
      <c r="X97" s="7">
        <f t="shared" si="58"/>
        <v>-774.89</v>
      </c>
      <c r="Y97" s="2"/>
      <c r="Z97" s="6">
        <f t="shared" si="59"/>
        <v>-0.96861249999999999</v>
      </c>
    </row>
    <row r="98" spans="1:26" s="28" customFormat="1" outlineLevel="1" collapsed="1" x14ac:dyDescent="0.25">
      <c r="A98" s="29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SUM(OSRRefD22_10x_0)</f>
        <v>181.41</v>
      </c>
      <c r="E98" s="1"/>
      <c r="F98" s="5">
        <f t="shared" ref="F98:F100" si="60">IF(D$12=0,0,D98/D$12)</f>
        <v>2.3232931364303667E-3</v>
      </c>
      <c r="G98" s="1"/>
      <c r="H98" s="1">
        <f>SUM(OSRRefH22_10x_0)</f>
        <v>300</v>
      </c>
      <c r="I98" s="1"/>
      <c r="J98" s="5">
        <f t="shared" ref="J98:J100" si="61">IF(H$12=0,0,H98/H$12)</f>
        <v>1.6337110836405619E-3</v>
      </c>
      <c r="K98" s="1"/>
      <c r="L98" s="1">
        <f t="shared" ref="L98:L100" si="62">+D98-H98</f>
        <v>-118.59</v>
      </c>
      <c r="M98" s="1"/>
      <c r="N98" s="5">
        <f t="shared" ref="N98:N100" si="63">IF(H98=0,0,L98/H98)</f>
        <v>-0.39529999999999998</v>
      </c>
      <c r="O98" s="14"/>
      <c r="P98" s="1">
        <f>SUM(OSRRefP22_10x_0)</f>
        <v>4093.84</v>
      </c>
      <c r="Q98" s="1"/>
      <c r="R98" s="5">
        <f t="shared" ref="R98:R100" si="64">IF(P$12=0,0,P98/P$12)</f>
        <v>1.5512901912926591E-3</v>
      </c>
      <c r="S98" s="1"/>
      <c r="T98" s="1">
        <f>SUM(OSRRefT22_10x_0)</f>
        <v>2400</v>
      </c>
      <c r="U98" s="1"/>
      <c r="V98" s="5">
        <f t="shared" ref="V98:V100" si="65">IF(T$12=0,0,T98/T$12)</f>
        <v>5.513271823597355E-4</v>
      </c>
      <c r="W98" s="1"/>
      <c r="X98" s="1">
        <f t="shared" ref="X98:X100" si="66">+P98-T98</f>
        <v>1693.8400000000001</v>
      </c>
      <c r="Y98" s="1"/>
      <c r="Z98" s="5">
        <f t="shared" ref="Z98:Z100" si="67">IF(T98=0,0,X98/T98)</f>
        <v>0.70576666666666676</v>
      </c>
    </row>
    <row r="99" spans="1:26" s="24" customFormat="1" hidden="1" outlineLevel="2" x14ac:dyDescent="0.25">
      <c r="A99" s="27"/>
      <c r="B99" s="11" t="str">
        <f>CONCATENATE("          ", "6258", " - ", "MEMBERSHIP DUES")</f>
        <v xml:space="preserve">          6258 - MEMBERSHIP DUES</v>
      </c>
      <c r="C99" s="11"/>
      <c r="D99" s="7">
        <v>181.41</v>
      </c>
      <c r="E99" s="2"/>
      <c r="F99" s="6">
        <f t="shared" si="60"/>
        <v>2.3232931364303667E-3</v>
      </c>
      <c r="G99" s="2"/>
      <c r="H99" s="7">
        <v>300</v>
      </c>
      <c r="I99" s="2"/>
      <c r="J99" s="6">
        <f t="shared" si="61"/>
        <v>1.6337110836405619E-3</v>
      </c>
      <c r="K99" s="2"/>
      <c r="L99" s="7">
        <f t="shared" si="62"/>
        <v>-118.59</v>
      </c>
      <c r="M99" s="2"/>
      <c r="N99" s="6">
        <f t="shared" si="63"/>
        <v>-0.39529999999999998</v>
      </c>
      <c r="O99" s="11"/>
      <c r="P99" s="7">
        <v>2241.7600000000002</v>
      </c>
      <c r="Q99" s="2"/>
      <c r="R99" s="6">
        <f t="shared" si="64"/>
        <v>8.4947635941615498E-4</v>
      </c>
      <c r="S99" s="2"/>
      <c r="T99" s="7">
        <v>2400</v>
      </c>
      <c r="U99" s="2"/>
      <c r="V99" s="6">
        <f t="shared" si="65"/>
        <v>5.513271823597355E-4</v>
      </c>
      <c r="W99" s="2"/>
      <c r="X99" s="7">
        <f t="shared" si="66"/>
        <v>-158.23999999999978</v>
      </c>
      <c r="Y99" s="2"/>
      <c r="Z99" s="6">
        <f t="shared" si="67"/>
        <v>-6.5933333333333247E-2</v>
      </c>
    </row>
    <row r="100" spans="1:26" s="24" customFormat="1" hidden="1" outlineLevel="2" x14ac:dyDescent="0.25">
      <c r="A100" s="27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60"/>
        <v>0</v>
      </c>
      <c r="G100" s="2"/>
      <c r="H100" s="7"/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>
        <v>1852.08</v>
      </c>
      <c r="Q100" s="2"/>
      <c r="R100" s="6">
        <f t="shared" si="64"/>
        <v>7.0181383187650423E-4</v>
      </c>
      <c r="S100" s="2"/>
      <c r="T100" s="7"/>
      <c r="U100" s="2"/>
      <c r="V100" s="6">
        <f t="shared" si="65"/>
        <v>0</v>
      </c>
      <c r="W100" s="2"/>
      <c r="X100" s="7">
        <f t="shared" si="66"/>
        <v>1852.08</v>
      </c>
      <c r="Y100" s="2"/>
      <c r="Z100" s="6">
        <f t="shared" si="67"/>
        <v>0</v>
      </c>
    </row>
    <row r="101" spans="1:26" s="28" customFormat="1" outlineLevel="1" collapsed="1" x14ac:dyDescent="0.25">
      <c r="A101" s="29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SUM(OSRRefD22_11x_0)</f>
        <v>583.6</v>
      </c>
      <c r="E101" s="1"/>
      <c r="F101" s="5">
        <f t="shared" ref="F101:F104" si="68">IF(D$12=0,0,D101/D$12)</f>
        <v>7.4740856315570368E-3</v>
      </c>
      <c r="G101" s="1"/>
      <c r="H101" s="1">
        <f>SUM(OSRRefH22_11x_0)</f>
        <v>1800</v>
      </c>
      <c r="I101" s="1"/>
      <c r="J101" s="5">
        <f t="shared" ref="J101:J104" si="69">IF(H$12=0,0,H101/H$12)</f>
        <v>9.8022665018433711E-3</v>
      </c>
      <c r="K101" s="1"/>
      <c r="L101" s="1">
        <f t="shared" ref="L101:L104" si="70">+D101-H101</f>
        <v>-1216.4000000000001</v>
      </c>
      <c r="M101" s="1"/>
      <c r="N101" s="5">
        <f t="shared" ref="N101:N104" si="71">IF(H101=0,0,L101/H101)</f>
        <v>-0.67577777777777781</v>
      </c>
      <c r="O101" s="14"/>
      <c r="P101" s="1">
        <f>SUM(OSRRefP22_11x_0)</f>
        <v>4835.5</v>
      </c>
      <c r="Q101" s="1"/>
      <c r="R101" s="5">
        <f t="shared" ref="R101:R104" si="72">IF(P$12=0,0,P101/P$12)</f>
        <v>1.8323294803889876E-3</v>
      </c>
      <c r="S101" s="1"/>
      <c r="T101" s="1">
        <f>SUM(OSRRefT22_11x_0)</f>
        <v>10200</v>
      </c>
      <c r="U101" s="1"/>
      <c r="V101" s="5">
        <f t="shared" ref="V101:V104" si="73">IF(T$12=0,0,T101/T$12)</f>
        <v>2.3431405250288759E-3</v>
      </c>
      <c r="W101" s="1"/>
      <c r="X101" s="1">
        <f t="shared" ref="X101:X104" si="74">+P101-T101</f>
        <v>-5364.5</v>
      </c>
      <c r="Y101" s="1"/>
      <c r="Z101" s="5">
        <f t="shared" ref="Z101:Z104" si="75">IF(T101=0,0,X101/T101)</f>
        <v>-0.52593137254901956</v>
      </c>
    </row>
    <row r="102" spans="1:26" s="24" customFormat="1" hidden="1" outlineLevel="2" x14ac:dyDescent="0.25">
      <c r="A102" s="27"/>
      <c r="B102" s="11" t="str">
        <f>CONCATENATE("          ", "6241", " - ", "OFFICE EXPENSE")</f>
        <v xml:space="preserve">          6241 - OFFICE EXPENSE</v>
      </c>
      <c r="C102" s="11"/>
      <c r="D102" s="7">
        <v>45</v>
      </c>
      <c r="E102" s="2"/>
      <c r="F102" s="6">
        <f t="shared" si="68"/>
        <v>5.7630886466769474E-4</v>
      </c>
      <c r="G102" s="2"/>
      <c r="H102" s="7">
        <v>500</v>
      </c>
      <c r="I102" s="2"/>
      <c r="J102" s="6">
        <f t="shared" si="69"/>
        <v>2.7228518060676029E-3</v>
      </c>
      <c r="K102" s="2"/>
      <c r="L102" s="7">
        <f t="shared" si="70"/>
        <v>-455</v>
      </c>
      <c r="M102" s="2"/>
      <c r="N102" s="6">
        <f t="shared" si="71"/>
        <v>-0.91</v>
      </c>
      <c r="O102" s="11"/>
      <c r="P102" s="7">
        <v>1254.5999999999999</v>
      </c>
      <c r="Q102" s="2"/>
      <c r="R102" s="6">
        <f t="shared" si="72"/>
        <v>4.754090716773909E-4</v>
      </c>
      <c r="S102" s="2"/>
      <c r="T102" s="7">
        <v>3600</v>
      </c>
      <c r="U102" s="2"/>
      <c r="V102" s="6">
        <f t="shared" si="73"/>
        <v>8.2699077353960324E-4</v>
      </c>
      <c r="W102" s="2"/>
      <c r="X102" s="7">
        <f t="shared" si="74"/>
        <v>-2345.4</v>
      </c>
      <c r="Y102" s="2"/>
      <c r="Z102" s="6">
        <f t="shared" si="75"/>
        <v>-0.65150000000000008</v>
      </c>
    </row>
    <row r="103" spans="1:26" s="24" customFormat="1" hidden="1" outlineLevel="2" x14ac:dyDescent="0.25">
      <c r="A103" s="27"/>
      <c r="B103" s="11" t="str">
        <f>CONCATENATE("          ", "6245", " - ", "PRINTING")</f>
        <v xml:space="preserve">          6245 - PRINTING</v>
      </c>
      <c r="C103" s="11"/>
      <c r="D103" s="7"/>
      <c r="E103" s="2"/>
      <c r="F103" s="6">
        <f t="shared" si="68"/>
        <v>0</v>
      </c>
      <c r="G103" s="2"/>
      <c r="H103" s="7">
        <v>100</v>
      </c>
      <c r="I103" s="2"/>
      <c r="J103" s="6">
        <f t="shared" si="69"/>
        <v>5.4457036121352055E-4</v>
      </c>
      <c r="K103" s="2"/>
      <c r="L103" s="7">
        <f t="shared" si="70"/>
        <v>-100</v>
      </c>
      <c r="M103" s="2"/>
      <c r="N103" s="6">
        <f t="shared" si="71"/>
        <v>-1</v>
      </c>
      <c r="O103" s="11"/>
      <c r="P103" s="7"/>
      <c r="Q103" s="2"/>
      <c r="R103" s="6">
        <f t="shared" si="72"/>
        <v>0</v>
      </c>
      <c r="S103" s="2"/>
      <c r="T103" s="7">
        <v>1800</v>
      </c>
      <c r="U103" s="2"/>
      <c r="V103" s="6">
        <f t="shared" si="73"/>
        <v>4.1349538676980162E-4</v>
      </c>
      <c r="W103" s="2"/>
      <c r="X103" s="7">
        <f t="shared" si="74"/>
        <v>-1800</v>
      </c>
      <c r="Y103" s="2"/>
      <c r="Z103" s="6">
        <f t="shared" si="75"/>
        <v>-1</v>
      </c>
    </row>
    <row r="104" spans="1:26" s="24" customFormat="1" hidden="1" outlineLevel="2" x14ac:dyDescent="0.25">
      <c r="A104" s="27"/>
      <c r="B104" s="11" t="str">
        <f>CONCATENATE("          ", "6247", " - ", "STORE SUPPLIES")</f>
        <v xml:space="preserve">          6247 - STORE SUPPLIES</v>
      </c>
      <c r="C104" s="11"/>
      <c r="D104" s="7">
        <v>538.6</v>
      </c>
      <c r="E104" s="2"/>
      <c r="F104" s="6">
        <f t="shared" si="68"/>
        <v>6.8977767668893424E-3</v>
      </c>
      <c r="G104" s="2"/>
      <c r="H104" s="7">
        <v>1200</v>
      </c>
      <c r="I104" s="2"/>
      <c r="J104" s="6">
        <f t="shared" si="69"/>
        <v>6.5348443345622474E-3</v>
      </c>
      <c r="K104" s="2"/>
      <c r="L104" s="7">
        <f t="shared" si="70"/>
        <v>-661.4</v>
      </c>
      <c r="M104" s="2"/>
      <c r="N104" s="6">
        <f t="shared" si="71"/>
        <v>-0.55116666666666669</v>
      </c>
      <c r="O104" s="11"/>
      <c r="P104" s="7">
        <v>3580.9</v>
      </c>
      <c r="Q104" s="2"/>
      <c r="R104" s="6">
        <f t="shared" si="72"/>
        <v>1.3569204087115966E-3</v>
      </c>
      <c r="S104" s="2"/>
      <c r="T104" s="7">
        <v>4800</v>
      </c>
      <c r="U104" s="2"/>
      <c r="V104" s="6">
        <f t="shared" si="73"/>
        <v>1.102654364719471E-3</v>
      </c>
      <c r="W104" s="2"/>
      <c r="X104" s="7">
        <f t="shared" si="74"/>
        <v>-1219.0999999999999</v>
      </c>
      <c r="Y104" s="2"/>
      <c r="Z104" s="6">
        <f t="shared" si="75"/>
        <v>-0.25397916666666664</v>
      </c>
    </row>
    <row r="105" spans="1:26" s="28" customFormat="1" outlineLevel="1" collapsed="1" x14ac:dyDescent="0.25">
      <c r="A105" s="29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SUM(OSRRefD22_12x_0)</f>
        <v>505.85</v>
      </c>
      <c r="E105" s="1"/>
      <c r="F105" s="5">
        <f t="shared" ref="F105:F107" si="76">IF(D$12=0,0,D105/D$12)</f>
        <v>6.478351982047853E-3</v>
      </c>
      <c r="G105" s="1"/>
      <c r="H105" s="1">
        <f>SUM(OSRRefH22_12x_0)</f>
        <v>600</v>
      </c>
      <c r="I105" s="1"/>
      <c r="J105" s="5">
        <f t="shared" ref="J105:J107" si="77">IF(H$12=0,0,H105/H$12)</f>
        <v>3.2674221672811237E-3</v>
      </c>
      <c r="K105" s="1"/>
      <c r="L105" s="1">
        <f t="shared" ref="L105:L107" si="78">+D105-H105</f>
        <v>-94.149999999999977</v>
      </c>
      <c r="M105" s="1"/>
      <c r="N105" s="5">
        <f t="shared" ref="N105:N107" si="79">IF(H105=0,0,L105/H105)</f>
        <v>-0.15691666666666662</v>
      </c>
      <c r="O105" s="14"/>
      <c r="P105" s="1">
        <f>SUM(OSRRefP22_12x_0)</f>
        <v>6763.55</v>
      </c>
      <c r="Q105" s="1"/>
      <c r="R105" s="5">
        <f t="shared" ref="R105:R107" si="80">IF(P$12=0,0,P105/P$12)</f>
        <v>2.5629308359187133E-3</v>
      </c>
      <c r="S105" s="1"/>
      <c r="T105" s="1">
        <f>SUM(OSRRefT22_12x_0)</f>
        <v>7100</v>
      </c>
      <c r="U105" s="1"/>
      <c r="V105" s="5">
        <f t="shared" ref="V105:V107" si="81">IF(T$12=0,0,T105/T$12)</f>
        <v>1.6310095811475508E-3</v>
      </c>
      <c r="W105" s="1"/>
      <c r="X105" s="1">
        <f t="shared" ref="X105:X107" si="82">+P105-T105</f>
        <v>-336.44999999999982</v>
      </c>
      <c r="Y105" s="1"/>
      <c r="Z105" s="5">
        <f t="shared" ref="Z105:Z107" si="83">IF(T105=0,0,X105/T105)</f>
        <v>-4.7387323943661949E-2</v>
      </c>
    </row>
    <row r="106" spans="1:26" s="24" customFormat="1" hidden="1" outlineLevel="2" x14ac:dyDescent="0.25">
      <c r="A106" s="27"/>
      <c r="B106" s="11" t="str">
        <f>CONCATENATE("          ", "6303", " - ", "DATA PHONE LINES")</f>
        <v xml:space="preserve">          6303 - DATA PHONE LINES</v>
      </c>
      <c r="C106" s="11"/>
      <c r="D106" s="7">
        <v>590</v>
      </c>
      <c r="E106" s="2"/>
      <c r="F106" s="6">
        <f t="shared" si="76"/>
        <v>7.556049558976442E-3</v>
      </c>
      <c r="G106" s="2"/>
      <c r="H106" s="7">
        <v>300</v>
      </c>
      <c r="I106" s="2"/>
      <c r="J106" s="6">
        <f t="shared" si="77"/>
        <v>1.6337110836405619E-3</v>
      </c>
      <c r="K106" s="2"/>
      <c r="L106" s="7">
        <f t="shared" si="78"/>
        <v>290</v>
      </c>
      <c r="M106" s="2"/>
      <c r="N106" s="6">
        <f t="shared" si="79"/>
        <v>0.96666666666666667</v>
      </c>
      <c r="O106" s="11"/>
      <c r="P106" s="7">
        <v>2950</v>
      </c>
      <c r="Q106" s="2"/>
      <c r="R106" s="6">
        <f t="shared" si="80"/>
        <v>1.117851714848002E-3</v>
      </c>
      <c r="S106" s="2"/>
      <c r="T106" s="7">
        <v>2400</v>
      </c>
      <c r="U106" s="2"/>
      <c r="V106" s="6">
        <f t="shared" si="81"/>
        <v>5.513271823597355E-4</v>
      </c>
      <c r="W106" s="2"/>
      <c r="X106" s="7">
        <f t="shared" si="82"/>
        <v>550</v>
      </c>
      <c r="Y106" s="2"/>
      <c r="Z106" s="6">
        <f t="shared" si="83"/>
        <v>0.22916666666666666</v>
      </c>
    </row>
    <row r="107" spans="1:26" s="24" customFormat="1" hidden="1" outlineLevel="2" x14ac:dyDescent="0.25">
      <c r="A107" s="27"/>
      <c r="B107" s="11" t="str">
        <f>CONCATENATE("          ", "6309", " - ", "TELEPHONE")</f>
        <v xml:space="preserve">          6309 - TELEPHONE</v>
      </c>
      <c r="C107" s="11"/>
      <c r="D107" s="7">
        <v>-84.15</v>
      </c>
      <c r="E107" s="2"/>
      <c r="F107" s="6">
        <f t="shared" si="76"/>
        <v>-1.0776975769285892E-3</v>
      </c>
      <c r="G107" s="2"/>
      <c r="H107" s="7">
        <v>300</v>
      </c>
      <c r="I107" s="2"/>
      <c r="J107" s="6">
        <f t="shared" si="77"/>
        <v>1.6337110836405619E-3</v>
      </c>
      <c r="K107" s="2"/>
      <c r="L107" s="7">
        <f t="shared" si="78"/>
        <v>-384.15</v>
      </c>
      <c r="M107" s="2"/>
      <c r="N107" s="6">
        <f t="shared" si="79"/>
        <v>-1.2805</v>
      </c>
      <c r="O107" s="11"/>
      <c r="P107" s="7">
        <v>3813.55</v>
      </c>
      <c r="Q107" s="2"/>
      <c r="R107" s="6">
        <f t="shared" si="80"/>
        <v>1.4450791210707111E-3</v>
      </c>
      <c r="S107" s="2"/>
      <c r="T107" s="7">
        <v>4700</v>
      </c>
      <c r="U107" s="2"/>
      <c r="V107" s="6">
        <f t="shared" si="81"/>
        <v>1.0796823987878153E-3</v>
      </c>
      <c r="W107" s="2"/>
      <c r="X107" s="7">
        <f t="shared" si="82"/>
        <v>-886.44999999999982</v>
      </c>
      <c r="Y107" s="2"/>
      <c r="Z107" s="6">
        <f t="shared" si="83"/>
        <v>-0.18860638297872337</v>
      </c>
    </row>
    <row r="108" spans="1:26" s="28" customFormat="1" outlineLevel="1" collapsed="1" x14ac:dyDescent="0.25">
      <c r="A108" s="29"/>
      <c r="B108" s="14" t="str">
        <f>CONCATENATE("     ","Training                                          ")</f>
        <v xml:space="preserve">     Training                                          </v>
      </c>
      <c r="C108" s="14"/>
      <c r="D108" s="1">
        <f>SUM(OSRRefD22_13x_0)</f>
        <v>0</v>
      </c>
      <c r="E108" s="1"/>
      <c r="F108" s="5">
        <f t="shared" ref="F108:F111" si="84">IF(D$12=0,0,D108/D$12)</f>
        <v>0</v>
      </c>
      <c r="G108" s="1"/>
      <c r="H108" s="1">
        <f>SUM(OSRRefH22_13x_0)</f>
        <v>5000</v>
      </c>
      <c r="I108" s="1"/>
      <c r="J108" s="5">
        <f t="shared" ref="J108:J111" si="85">IF(H$12=0,0,H108/H$12)</f>
        <v>2.722851806067603E-2</v>
      </c>
      <c r="K108" s="1"/>
      <c r="L108" s="1">
        <f t="shared" ref="L108:L111" si="86">+D108-H108</f>
        <v>-5000</v>
      </c>
      <c r="M108" s="1"/>
      <c r="N108" s="5">
        <f t="shared" ref="N108:N111" si="87">IF(H108=0,0,L108/H108)</f>
        <v>-1</v>
      </c>
      <c r="O108" s="14"/>
      <c r="P108" s="1">
        <f>SUM(OSRRefP22_13x_0)</f>
        <v>0</v>
      </c>
      <c r="Q108" s="1"/>
      <c r="R108" s="5">
        <f t="shared" ref="R108:R111" si="88">IF(P$12=0,0,P108/P$12)</f>
        <v>0</v>
      </c>
      <c r="S108" s="1"/>
      <c r="T108" s="1">
        <f>SUM(OSRRefT22_13x_0)</f>
        <v>5000</v>
      </c>
      <c r="U108" s="1"/>
      <c r="V108" s="5">
        <f t="shared" ref="V108:V111" si="89">IF(T$12=0,0,T108/T$12)</f>
        <v>1.1485982965827822E-3</v>
      </c>
      <c r="W108" s="1"/>
      <c r="X108" s="1">
        <f t="shared" ref="X108:X111" si="90">+P108-T108</f>
        <v>-5000</v>
      </c>
      <c r="Y108" s="1"/>
      <c r="Z108" s="5">
        <f t="shared" ref="Z108:Z111" si="91">IF(T108=0,0,X108/T108)</f>
        <v>-1</v>
      </c>
    </row>
    <row r="109" spans="1:26" s="24" customFormat="1" hidden="1" outlineLevel="2" x14ac:dyDescent="0.25">
      <c r="A109" s="27"/>
      <c r="B109" s="11" t="str">
        <f>CONCATENATE("          ", "6376", " - ", "TRAINING")</f>
        <v xml:space="preserve">          6376 - TRAINING</v>
      </c>
      <c r="C109" s="11"/>
      <c r="D109" s="7"/>
      <c r="E109" s="2"/>
      <c r="F109" s="6">
        <f t="shared" si="84"/>
        <v>0</v>
      </c>
      <c r="G109" s="2"/>
      <c r="H109" s="7">
        <v>5000</v>
      </c>
      <c r="I109" s="2"/>
      <c r="J109" s="6">
        <f t="shared" si="85"/>
        <v>2.722851806067603E-2</v>
      </c>
      <c r="K109" s="2"/>
      <c r="L109" s="7">
        <f t="shared" si="86"/>
        <v>-5000</v>
      </c>
      <c r="M109" s="2"/>
      <c r="N109" s="6">
        <f t="shared" si="87"/>
        <v>-1</v>
      </c>
      <c r="O109" s="11"/>
      <c r="P109" s="7"/>
      <c r="Q109" s="2"/>
      <c r="R109" s="6">
        <f t="shared" si="88"/>
        <v>0</v>
      </c>
      <c r="S109" s="2"/>
      <c r="T109" s="7">
        <v>5000</v>
      </c>
      <c r="U109" s="2"/>
      <c r="V109" s="6">
        <f t="shared" si="89"/>
        <v>1.1485982965827822E-3</v>
      </c>
      <c r="W109" s="2"/>
      <c r="X109" s="7">
        <f t="shared" si="90"/>
        <v>-5000</v>
      </c>
      <c r="Y109" s="2"/>
      <c r="Z109" s="6">
        <f t="shared" si="91"/>
        <v>-1</v>
      </c>
    </row>
    <row r="110" spans="1:26" s="28" customFormat="1" outlineLevel="1" collapsed="1" x14ac:dyDescent="0.25">
      <c r="A110" s="29"/>
      <c r="B110" s="14" t="str">
        <f>CONCATENATE("     ","Travel                                            ")</f>
        <v xml:space="preserve">     Travel                                            </v>
      </c>
      <c r="C110" s="14"/>
      <c r="D110" s="1">
        <f>SUM(OSRRefD22_14x_0)</f>
        <v>0</v>
      </c>
      <c r="E110" s="1"/>
      <c r="F110" s="5">
        <f t="shared" si="84"/>
        <v>0</v>
      </c>
      <c r="G110" s="1"/>
      <c r="H110" s="1">
        <f>SUM(OSRRefH22_14x_0)</f>
        <v>0</v>
      </c>
      <c r="I110" s="1"/>
      <c r="J110" s="5">
        <f t="shared" si="85"/>
        <v>0</v>
      </c>
      <c r="K110" s="1"/>
      <c r="L110" s="1">
        <f t="shared" si="86"/>
        <v>0</v>
      </c>
      <c r="M110" s="1"/>
      <c r="N110" s="5">
        <f t="shared" si="87"/>
        <v>0</v>
      </c>
      <c r="O110" s="14"/>
      <c r="P110" s="1">
        <f>SUM(OSRRefP22_14x_0)</f>
        <v>0.16</v>
      </c>
      <c r="Q110" s="1"/>
      <c r="R110" s="5">
        <f t="shared" si="88"/>
        <v>6.0629245551078069E-8</v>
      </c>
      <c r="S110" s="1"/>
      <c r="T110" s="1">
        <f>SUM(OSRRefT22_14x_0)</f>
        <v>0</v>
      </c>
      <c r="U110" s="1"/>
      <c r="V110" s="5">
        <f t="shared" si="89"/>
        <v>0</v>
      </c>
      <c r="W110" s="1"/>
      <c r="X110" s="1">
        <f t="shared" si="90"/>
        <v>0.16</v>
      </c>
      <c r="Y110" s="1"/>
      <c r="Z110" s="5">
        <f t="shared" si="91"/>
        <v>0</v>
      </c>
    </row>
    <row r="111" spans="1:26" s="24" customFormat="1" hidden="1" outlineLevel="2" x14ac:dyDescent="0.25">
      <c r="A111" s="27"/>
      <c r="B111" s="11" t="str">
        <f>CONCATENATE("          ", "6292", " - ", "TRAVEL/CONFERENCE")</f>
        <v xml:space="preserve">          6292 - TRAVEL/CONFERENCE</v>
      </c>
      <c r="C111" s="11"/>
      <c r="D111" s="7"/>
      <c r="E111" s="2"/>
      <c r="F111" s="6">
        <f t="shared" si="84"/>
        <v>0</v>
      </c>
      <c r="G111" s="2"/>
      <c r="H111" s="7"/>
      <c r="I111" s="2"/>
      <c r="J111" s="6">
        <f t="shared" si="85"/>
        <v>0</v>
      </c>
      <c r="K111" s="2"/>
      <c r="L111" s="7">
        <f t="shared" si="86"/>
        <v>0</v>
      </c>
      <c r="M111" s="2"/>
      <c r="N111" s="6">
        <f t="shared" si="87"/>
        <v>0</v>
      </c>
      <c r="O111" s="11"/>
      <c r="P111" s="7">
        <v>0.16</v>
      </c>
      <c r="Q111" s="2"/>
      <c r="R111" s="6">
        <f t="shared" si="88"/>
        <v>6.0629245551078069E-8</v>
      </c>
      <c r="S111" s="2"/>
      <c r="T111" s="7"/>
      <c r="U111" s="2"/>
      <c r="V111" s="6">
        <f t="shared" si="89"/>
        <v>0</v>
      </c>
      <c r="W111" s="2"/>
      <c r="X111" s="7">
        <f t="shared" si="90"/>
        <v>0.16</v>
      </c>
      <c r="Y111" s="2"/>
      <c r="Z111" s="6">
        <f t="shared" si="91"/>
        <v>0</v>
      </c>
    </row>
    <row r="112" spans="1:26" s="58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6" t="s">
        <v>0</v>
      </c>
      <c r="C113" s="10"/>
      <c r="D113" s="4">
        <f>SUM(OSRRefD25x_0)</f>
        <v>145116.21</v>
      </c>
      <c r="E113" s="4"/>
      <c r="F113" s="12">
        <f t="shared" ref="F113:F116" si="92">IF(D$12=0,0,D113/D$12)</f>
        <v>1.8584835162217503</v>
      </c>
      <c r="G113" s="4"/>
      <c r="H113" s="4">
        <f>SUM(OSRRefH25x_0)</f>
        <v>81321</v>
      </c>
      <c r="I113" s="4"/>
      <c r="J113" s="12">
        <f t="shared" ref="J113:J116" si="93">IF(H$12=0,0,H113/H$12)</f>
        <v>0.44285006344244709</v>
      </c>
      <c r="K113" s="4"/>
      <c r="L113" s="4">
        <f t="shared" ref="L113:L116" si="94">+D113-H113</f>
        <v>63795.209999999992</v>
      </c>
      <c r="M113" s="4"/>
      <c r="N113" s="12">
        <f t="shared" ref="N113:N116" si="95">IF(H113=0,0,L113/H113)</f>
        <v>0.78448629505293821</v>
      </c>
      <c r="O113" s="10"/>
      <c r="P113" s="4">
        <f>SUM(OSRRefP25x_0)</f>
        <v>325937.90000000002</v>
      </c>
      <c r="Q113" s="4"/>
      <c r="R113" s="12">
        <f t="shared" ref="R113:R116" si="96">IF(P$12=0,0,P113/P$12)</f>
        <v>0.12350855608439207</v>
      </c>
      <c r="S113" s="4"/>
      <c r="T113" s="4">
        <f>SUM(OSRRefT25x_0)</f>
        <v>196080</v>
      </c>
      <c r="U113" s="4"/>
      <c r="V113" s="12">
        <f t="shared" ref="V113:V116" si="97">IF(T$12=0,0,T113/T$12)</f>
        <v>4.504343079879039E-2</v>
      </c>
      <c r="W113" s="4"/>
      <c r="X113" s="4">
        <f t="shared" ref="X113:X116" si="98">+P113-T113</f>
        <v>129857.90000000002</v>
      </c>
      <c r="Y113" s="4"/>
      <c r="Z113" s="12">
        <f t="shared" ref="Z113:Z116" si="99">IF(T113=0,0,X113/T113)</f>
        <v>0.66226999184006541</v>
      </c>
    </row>
    <row r="114" spans="1:26" s="24" customFormat="1" hidden="1" outlineLevel="1" x14ac:dyDescent="0.25">
      <c r="A114" s="51"/>
      <c r="B114" s="11" t="str">
        <f>CONCATENATE("          ", "9150", " - ", "MISC. INCOME")</f>
        <v xml:space="preserve">          9150 - MISC. INCOME</v>
      </c>
      <c r="C114" s="11"/>
      <c r="D114" s="2">
        <f>-3618.29</f>
        <v>-3618.29</v>
      </c>
      <c r="E114" s="2"/>
      <c r="F114" s="22">
        <f t="shared" si="92"/>
        <v>-4.6338946709743846E-2</v>
      </c>
      <c r="G114" s="2"/>
      <c r="H114" s="2">
        <v>2500</v>
      </c>
      <c r="I114" s="2"/>
      <c r="J114" s="22">
        <f t="shared" si="93"/>
        <v>1.3614259030338015E-2</v>
      </c>
      <c r="K114" s="2"/>
      <c r="L114" s="2">
        <f t="shared" si="94"/>
        <v>-6118.29</v>
      </c>
      <c r="M114" s="2"/>
      <c r="N114" s="22">
        <f t="shared" si="95"/>
        <v>-2.4473159999999998</v>
      </c>
      <c r="O114" s="11"/>
      <c r="P114" s="2">
        <f>--24713.75</f>
        <v>24713.75</v>
      </c>
      <c r="Q114" s="2"/>
      <c r="R114" s="22">
        <f t="shared" si="96"/>
        <v>9.3648501077372229E-3</v>
      </c>
      <c r="S114" s="2"/>
      <c r="T114" s="2">
        <v>25000</v>
      </c>
      <c r="U114" s="2"/>
      <c r="V114" s="22">
        <f t="shared" si="97"/>
        <v>5.7429914829139114E-3</v>
      </c>
      <c r="W114" s="2"/>
      <c r="X114" s="2">
        <f t="shared" si="98"/>
        <v>-286.25</v>
      </c>
      <c r="Y114" s="2"/>
      <c r="Z114" s="22">
        <f t="shared" si="99"/>
        <v>-1.145E-2</v>
      </c>
    </row>
    <row r="115" spans="1:26" s="24" customFormat="1" hidden="1" outlineLevel="1" x14ac:dyDescent="0.25">
      <c r="A115" s="51"/>
      <c r="B115" s="11" t="str">
        <f>CONCATENATE("          ", "9151", " - ", "MISC. INCOME")</f>
        <v xml:space="preserve">          9151 - MISC. INCOME</v>
      </c>
      <c r="C115" s="11"/>
      <c r="D115" s="2">
        <f>--148653.31</f>
        <v>148653.31</v>
      </c>
      <c r="E115" s="2"/>
      <c r="F115" s="22">
        <f t="shared" si="92"/>
        <v>1.9037826736709971</v>
      </c>
      <c r="G115" s="2"/>
      <c r="H115" s="2">
        <v>78821</v>
      </c>
      <c r="I115" s="2"/>
      <c r="J115" s="22">
        <f t="shared" si="93"/>
        <v>0.42923580441210907</v>
      </c>
      <c r="K115" s="2"/>
      <c r="L115" s="2">
        <f t="shared" si="94"/>
        <v>69832.31</v>
      </c>
      <c r="M115" s="2"/>
      <c r="N115" s="22">
        <f t="shared" si="95"/>
        <v>0.88596072112761826</v>
      </c>
      <c r="O115" s="11"/>
      <c r="P115" s="2">
        <f>--297910.7</f>
        <v>297910.7</v>
      </c>
      <c r="Q115" s="2"/>
      <c r="R115" s="22">
        <f t="shared" si="96"/>
        <v>0.11288813114120971</v>
      </c>
      <c r="S115" s="2"/>
      <c r="T115" s="2">
        <v>171080</v>
      </c>
      <c r="U115" s="2"/>
      <c r="V115" s="22">
        <f t="shared" si="97"/>
        <v>3.9300439315876477E-2</v>
      </c>
      <c r="W115" s="2"/>
      <c r="X115" s="2">
        <f t="shared" si="98"/>
        <v>126830.70000000001</v>
      </c>
      <c r="Y115" s="2"/>
      <c r="Z115" s="22">
        <f t="shared" si="99"/>
        <v>0.74135316810848728</v>
      </c>
    </row>
    <row r="116" spans="1:26" s="24" customFormat="1" hidden="1" outlineLevel="1" x14ac:dyDescent="0.25">
      <c r="A116" s="51"/>
      <c r="B116" s="11" t="str">
        <f>CONCATENATE("          ", "9152", " - ", "MISC. INCOME")</f>
        <v xml:space="preserve">          9152 - MISC. INCOME</v>
      </c>
      <c r="C116" s="11"/>
      <c r="D116" s="2">
        <f>--81.19</f>
        <v>81.19</v>
      </c>
      <c r="E116" s="2"/>
      <c r="F116" s="22">
        <f t="shared" si="92"/>
        <v>1.0397892604971141E-3</v>
      </c>
      <c r="G116" s="2"/>
      <c r="H116" s="2"/>
      <c r="I116" s="2"/>
      <c r="J116" s="22">
        <f t="shared" si="93"/>
        <v>0</v>
      </c>
      <c r="K116" s="2"/>
      <c r="L116" s="2">
        <f t="shared" si="94"/>
        <v>81.19</v>
      </c>
      <c r="M116" s="2"/>
      <c r="N116" s="22">
        <f t="shared" si="95"/>
        <v>0</v>
      </c>
      <c r="O116" s="11"/>
      <c r="P116" s="2">
        <f>--3313.45</f>
        <v>3313.45</v>
      </c>
      <c r="Q116" s="2"/>
      <c r="R116" s="22">
        <f t="shared" si="96"/>
        <v>1.2555748354451226E-3</v>
      </c>
      <c r="S116" s="2"/>
      <c r="T116" s="2"/>
      <c r="U116" s="2"/>
      <c r="V116" s="22">
        <f t="shared" si="97"/>
        <v>0</v>
      </c>
      <c r="W116" s="2"/>
      <c r="X116" s="2">
        <f t="shared" si="98"/>
        <v>3313.45</v>
      </c>
      <c r="Y116" s="2"/>
      <c r="Z116" s="22">
        <f t="shared" si="99"/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5" t="s">
        <v>3</v>
      </c>
      <c r="C118" s="25"/>
      <c r="D118" s="19">
        <f>+D53-D55+D113</f>
        <v>129998.30999999998</v>
      </c>
      <c r="E118" s="13"/>
      <c r="F118" s="21">
        <f>IF(D$12=0,0,D118/D$12)</f>
        <v>1.6648706321070892</v>
      </c>
      <c r="G118" s="13"/>
      <c r="H118" s="19">
        <f>+H53-H55+H113</f>
        <v>76885.838566388469</v>
      </c>
      <c r="I118" s="13"/>
      <c r="J118" s="21">
        <f>IF(H$12=0,0,H118/H$12)</f>
        <v>0.41869748880302599</v>
      </c>
      <c r="K118" s="15"/>
      <c r="L118" s="19">
        <f>+D118-H118</f>
        <v>53112.471433611514</v>
      </c>
      <c r="M118" s="15"/>
      <c r="N118" s="21">
        <f>IF(H118=0,0,L118/H118)</f>
        <v>0.69079654230148757</v>
      </c>
      <c r="O118" s="26"/>
      <c r="P118" s="19">
        <f>+P53-P55+P113</f>
        <v>739160.76</v>
      </c>
      <c r="Q118" s="13"/>
      <c r="R118" s="21">
        <f>IF(P$12=0,0,P118/P$12)</f>
        <v>0.28009224512350928</v>
      </c>
      <c r="S118" s="13"/>
      <c r="T118" s="19">
        <f>+T53-T55+T113</f>
        <v>924129.70866946154</v>
      </c>
      <c r="U118" s="13"/>
      <c r="V118" s="21">
        <f>IF(T$12=0,0,T118/T$12)</f>
        <v>0.21229076183985726</v>
      </c>
      <c r="W118" s="15"/>
      <c r="X118" s="19">
        <f>+P118-T118</f>
        <v>-184968.94866946153</v>
      </c>
      <c r="Y118" s="15"/>
      <c r="Z118" s="21">
        <f>IF(T118=0,0,X118/T118)</f>
        <v>-0.20015474768771921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2"/>
      <c r="B120" s="10" t="s">
        <v>14</v>
      </c>
      <c r="C120" s="10"/>
      <c r="D120" s="4">
        <v>57742.07</v>
      </c>
      <c r="E120" s="4"/>
      <c r="F120" s="12">
        <f>IF(D$12=0,0,D120/D$12)</f>
        <v>0.73949481789472349</v>
      </c>
      <c r="G120" s="4"/>
      <c r="H120" s="4">
        <v>25065</v>
      </c>
      <c r="I120" s="4"/>
      <c r="J120" s="12">
        <f>IF(H$12=0,0,H120/H$12)</f>
        <v>0.13649656103816893</v>
      </c>
      <c r="K120" s="4"/>
      <c r="L120" s="4">
        <f>+D120-H120</f>
        <v>32677.07</v>
      </c>
      <c r="M120" s="4"/>
      <c r="N120" s="12">
        <f>IF(H120=0,0,L120/H120)</f>
        <v>1.3036931976860164</v>
      </c>
      <c r="O120" s="10"/>
      <c r="P120" s="4">
        <v>522614.49999999994</v>
      </c>
      <c r="Q120" s="4"/>
      <c r="R120" s="12">
        <f>IF(P$12=0,0,P120/P$12)</f>
        <v>0.1980357678065868</v>
      </c>
      <c r="S120" s="4"/>
      <c r="T120" s="4">
        <v>748648</v>
      </c>
      <c r="U120" s="4"/>
      <c r="V120" s="12">
        <f>IF(T$12=0,0,T120/T$12)</f>
        <v>0.17197916350802134</v>
      </c>
      <c r="W120" s="4"/>
      <c r="X120" s="4">
        <f>+P120-T120</f>
        <v>-226033.50000000006</v>
      </c>
      <c r="Y120" s="4"/>
      <c r="Z120" s="12">
        <f>IF(T120=0,0,X120/T120)</f>
        <v>-0.30192226520340676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5" t="s">
        <v>4</v>
      </c>
      <c r="C122" s="25"/>
      <c r="D122" s="34">
        <f>+D118-D120</f>
        <v>72256.239999999991</v>
      </c>
      <c r="E122" s="13"/>
      <c r="F122" s="30">
        <f>IF(D$12=0,0,D122/D$12)</f>
        <v>0.92537581421236592</v>
      </c>
      <c r="G122" s="13"/>
      <c r="H122" s="34">
        <f>+H118-H120</f>
        <v>51820.838566388469</v>
      </c>
      <c r="I122" s="13"/>
      <c r="J122" s="30">
        <f>IF(H$12=0,0,H122/H$12)</f>
        <v>0.28220092776485706</v>
      </c>
      <c r="K122" s="15"/>
      <c r="L122" s="34">
        <f>D122-H122</f>
        <v>20435.401433611521</v>
      </c>
      <c r="M122" s="15"/>
      <c r="N122" s="30">
        <f>IF(H122=0,0,L122/H122)</f>
        <v>0.39434717767894506</v>
      </c>
      <c r="O122" s="26"/>
      <c r="P122" s="34">
        <f>+P118-P120</f>
        <v>216546.26000000007</v>
      </c>
      <c r="Q122" s="13"/>
      <c r="R122" s="30">
        <f>IF(P$12=0,0,P122/P$12)</f>
        <v>8.2056477316922491E-2</v>
      </c>
      <c r="S122" s="13"/>
      <c r="T122" s="34">
        <f>+T118-T120</f>
        <v>175481.70866946154</v>
      </c>
      <c r="U122" s="13"/>
      <c r="V122" s="30">
        <f>IF(T$12=0,0,T122/T$12)</f>
        <v>4.0311598331835917E-2</v>
      </c>
      <c r="W122" s="15"/>
      <c r="X122" s="34">
        <f>P122-T122</f>
        <v>41064.551330538525</v>
      </c>
      <c r="Y122" s="15"/>
      <c r="Z122" s="30">
        <f>IF(T122=0,0,X122/T122)</f>
        <v>0.2340104369959605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5</v>
      </c>
      <c r="C125" s="25"/>
      <c r="D125" s="35">
        <f>SUM(D122:D124)</f>
        <v>72256.239999999991</v>
      </c>
      <c r="E125" s="13"/>
      <c r="F125" s="31">
        <f>IF(D$12=0,0,D125/D$12)</f>
        <v>0.92537581421236592</v>
      </c>
      <c r="G125" s="13"/>
      <c r="H125" s="35">
        <f>SUM(H122:H124)</f>
        <v>51820.838566388469</v>
      </c>
      <c r="I125" s="13"/>
      <c r="J125" s="31">
        <f>IF(H$12=0,0,H125/H$12)</f>
        <v>0.28220092776485706</v>
      </c>
      <c r="K125" s="15"/>
      <c r="L125" s="35">
        <f>+D125-H125</f>
        <v>20435.401433611521</v>
      </c>
      <c r="M125" s="15"/>
      <c r="N125" s="31">
        <f>IF(H125=0,0,L125/H125)</f>
        <v>0.39434717767894506</v>
      </c>
      <c r="O125" s="26"/>
      <c r="P125" s="35">
        <f>SUM(P122:P124)</f>
        <v>216546.26000000007</v>
      </c>
      <c r="Q125" s="13"/>
      <c r="R125" s="31">
        <f>IF(P$12=0,0,P125/P$12)</f>
        <v>8.2056477316922491E-2</v>
      </c>
      <c r="S125" s="13"/>
      <c r="T125" s="35">
        <f>SUM(T122:T124)</f>
        <v>175481.70866946154</v>
      </c>
      <c r="U125" s="13"/>
      <c r="V125" s="31">
        <f>IF(T$12=0,0,T125/T$12)</f>
        <v>4.0311598331835917E-2</v>
      </c>
      <c r="W125" s="15"/>
      <c r="X125" s="35">
        <f>+P125-T125</f>
        <v>41064.551330538525</v>
      </c>
      <c r="Y125" s="15"/>
      <c r="Z125" s="31">
        <f>IF(T125=0,0,X125/T125)</f>
        <v>0.2340104369959605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3">
        <v>44267.671400312502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62" t="s">
        <v>314</v>
      </c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7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62437.9</v>
      </c>
      <c r="E12" s="4"/>
      <c r="F12" s="12"/>
      <c r="G12" s="4"/>
      <c r="H12" s="4">
        <f>SUM(OSRRefH13x_0)</f>
        <v>129183</v>
      </c>
      <c r="I12" s="4"/>
      <c r="J12" s="12"/>
      <c r="K12" s="4"/>
      <c r="L12" s="4">
        <f t="shared" ref="L12:L33" si="0">+D12-H12</f>
        <v>-66745.100000000006</v>
      </c>
      <c r="M12" s="4"/>
      <c r="N12" s="12">
        <f t="shared" ref="N12:N33" si="1">IF(H12=0,0,L12/H12)</f>
        <v>-0.5166709241928118</v>
      </c>
      <c r="O12" s="10"/>
      <c r="P12" s="4">
        <f>SUM(OSRRefP13x_0)</f>
        <v>1866073.4499999997</v>
      </c>
      <c r="Q12" s="4"/>
      <c r="R12" s="12"/>
      <c r="S12" s="4"/>
      <c r="T12" s="4">
        <f>SUM(OSRRefT13x_0)</f>
        <v>2940689</v>
      </c>
      <c r="U12" s="4"/>
      <c r="V12" s="12"/>
      <c r="W12" s="4"/>
      <c r="X12" s="4">
        <f t="shared" ref="X12:X33" si="2">+P12-T12</f>
        <v>-1074615.5500000003</v>
      </c>
      <c r="Y12" s="4"/>
      <c r="Z12" s="12">
        <f t="shared" ref="Z12:Z33" si="3">IF(T12=0,0,X12/T12)</f>
        <v>-0.36542985334389333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-296.28</f>
        <v>-296.27999999999997</v>
      </c>
      <c r="E13" s="2"/>
      <c r="F13" s="22"/>
      <c r="G13" s="2"/>
      <c r="H13" s="2">
        <v>129183</v>
      </c>
      <c r="I13" s="2"/>
      <c r="J13" s="22"/>
      <c r="K13" s="2"/>
      <c r="L13" s="2">
        <f t="shared" si="0"/>
        <v>-129479.28</v>
      </c>
      <c r="M13" s="2"/>
      <c r="N13" s="22">
        <f t="shared" si="1"/>
        <v>-1.002293490629572</v>
      </c>
      <c r="O13" s="11"/>
      <c r="P13" s="2">
        <f>-8057.31</f>
        <v>-8057.31</v>
      </c>
      <c r="Q13" s="2"/>
      <c r="R13" s="22"/>
      <c r="S13" s="2"/>
      <c r="T13" s="2">
        <v>2940689</v>
      </c>
      <c r="U13" s="2"/>
      <c r="V13" s="22"/>
      <c r="W13" s="2"/>
      <c r="X13" s="2">
        <f t="shared" si="2"/>
        <v>-2948746.31</v>
      </c>
      <c r="Y13" s="2"/>
      <c r="Z13" s="22">
        <f t="shared" si="3"/>
        <v>-1.0027399395175756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--28416.36</f>
        <v>28416.36</v>
      </c>
      <c r="E14" s="2"/>
      <c r="F14" s="22"/>
      <c r="G14" s="2"/>
      <c r="H14" s="2"/>
      <c r="I14" s="2"/>
      <c r="J14" s="22"/>
      <c r="K14" s="2"/>
      <c r="L14" s="2">
        <f t="shared" si="0"/>
        <v>28416.36</v>
      </c>
      <c r="M14" s="2"/>
      <c r="N14" s="22">
        <f t="shared" si="1"/>
        <v>0</v>
      </c>
      <c r="O14" s="11"/>
      <c r="P14" s="2">
        <f>--962018.08</f>
        <v>962018.08</v>
      </c>
      <c r="Q14" s="2"/>
      <c r="R14" s="22"/>
      <c r="S14" s="2"/>
      <c r="T14" s="2"/>
      <c r="U14" s="2"/>
      <c r="V14" s="22"/>
      <c r="W14" s="2"/>
      <c r="X14" s="2">
        <f t="shared" si="2"/>
        <v>962018.08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--8916.76</f>
        <v>8916.76</v>
      </c>
      <c r="E15" s="2"/>
      <c r="F15" s="22"/>
      <c r="G15" s="2"/>
      <c r="H15" s="2"/>
      <c r="I15" s="2"/>
      <c r="J15" s="22"/>
      <c r="K15" s="2"/>
      <c r="L15" s="2">
        <f t="shared" si="0"/>
        <v>8916.76</v>
      </c>
      <c r="M15" s="2"/>
      <c r="N15" s="22">
        <f t="shared" si="1"/>
        <v>0</v>
      </c>
      <c r="O15" s="11"/>
      <c r="P15" s="2">
        <f>--349096.97</f>
        <v>349096.97</v>
      </c>
      <c r="Q15" s="2"/>
      <c r="R15" s="22"/>
      <c r="S15" s="2"/>
      <c r="T15" s="2"/>
      <c r="U15" s="2"/>
      <c r="V15" s="22"/>
      <c r="W15" s="2"/>
      <c r="X15" s="2">
        <f t="shared" si="2"/>
        <v>349096.97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--40</f>
        <v>40</v>
      </c>
      <c r="E16" s="2"/>
      <c r="F16" s="22"/>
      <c r="G16" s="2"/>
      <c r="H16" s="2"/>
      <c r="I16" s="2"/>
      <c r="J16" s="22"/>
      <c r="K16" s="2"/>
      <c r="L16" s="2">
        <f t="shared" si="0"/>
        <v>40</v>
      </c>
      <c r="M16" s="2"/>
      <c r="N16" s="22">
        <f t="shared" si="1"/>
        <v>0</v>
      </c>
      <c r="O16" s="11"/>
      <c r="P16" s="2">
        <f>--17927.89</f>
        <v>17927.89</v>
      </c>
      <c r="Q16" s="2"/>
      <c r="R16" s="22"/>
      <c r="S16" s="2"/>
      <c r="T16" s="2"/>
      <c r="U16" s="2"/>
      <c r="V16" s="22"/>
      <c r="W16" s="2"/>
      <c r="X16" s="2">
        <f t="shared" si="2"/>
        <v>17927.89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--2659.66</f>
        <v>2659.66</v>
      </c>
      <c r="Q17" s="2"/>
      <c r="R17" s="22"/>
      <c r="S17" s="2"/>
      <c r="T17" s="2"/>
      <c r="U17" s="2"/>
      <c r="V17" s="22"/>
      <c r="W17" s="2"/>
      <c r="X17" s="2">
        <f t="shared" si="2"/>
        <v>2659.66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--242.29</f>
        <v>242.29</v>
      </c>
      <c r="E18" s="2"/>
      <c r="F18" s="22"/>
      <c r="G18" s="2"/>
      <c r="H18" s="2"/>
      <c r="I18" s="2"/>
      <c r="J18" s="22"/>
      <c r="K18" s="2"/>
      <c r="L18" s="2">
        <f t="shared" si="0"/>
        <v>242.29</v>
      </c>
      <c r="M18" s="2"/>
      <c r="N18" s="22">
        <f t="shared" si="1"/>
        <v>0</v>
      </c>
      <c r="O18" s="11"/>
      <c r="P18" s="2">
        <f>--1172.81</f>
        <v>1172.81</v>
      </c>
      <c r="Q18" s="2"/>
      <c r="R18" s="22"/>
      <c r="S18" s="2"/>
      <c r="T18" s="2"/>
      <c r="U18" s="2"/>
      <c r="V18" s="22"/>
      <c r="W18" s="2"/>
      <c r="X18" s="2">
        <f t="shared" si="2"/>
        <v>1172.81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--31.84</f>
        <v>31.84</v>
      </c>
      <c r="E19" s="2"/>
      <c r="F19" s="22"/>
      <c r="G19" s="2"/>
      <c r="H19" s="2"/>
      <c r="I19" s="2"/>
      <c r="J19" s="22"/>
      <c r="K19" s="2"/>
      <c r="L19" s="2">
        <f t="shared" si="0"/>
        <v>31.84</v>
      </c>
      <c r="M19" s="2"/>
      <c r="N19" s="22">
        <f t="shared" si="1"/>
        <v>0</v>
      </c>
      <c r="O19" s="11"/>
      <c r="P19" s="2">
        <f>--411.88</f>
        <v>411.88</v>
      </c>
      <c r="Q19" s="2"/>
      <c r="R19" s="22"/>
      <c r="S19" s="2"/>
      <c r="T19" s="2"/>
      <c r="U19" s="2"/>
      <c r="V19" s="22"/>
      <c r="W19" s="2"/>
      <c r="X19" s="2">
        <f t="shared" si="2"/>
        <v>411.88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--41.7</f>
        <v>41.7</v>
      </c>
      <c r="E20" s="2"/>
      <c r="F20" s="22"/>
      <c r="G20" s="2"/>
      <c r="H20" s="2"/>
      <c r="I20" s="2"/>
      <c r="J20" s="22"/>
      <c r="K20" s="2"/>
      <c r="L20" s="2">
        <f t="shared" si="0"/>
        <v>41.7</v>
      </c>
      <c r="M20" s="2"/>
      <c r="N20" s="22">
        <f t="shared" si="1"/>
        <v>0</v>
      </c>
      <c r="O20" s="11"/>
      <c r="P20" s="2">
        <f>--332.84</f>
        <v>332.84</v>
      </c>
      <c r="Q20" s="2"/>
      <c r="R20" s="22"/>
      <c r="S20" s="2"/>
      <c r="T20" s="2"/>
      <c r="U20" s="2"/>
      <c r="V20" s="22"/>
      <c r="W20" s="2"/>
      <c r="X20" s="2">
        <f t="shared" si="2"/>
        <v>332.84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--6785.91</f>
        <v>6785.91</v>
      </c>
      <c r="E21" s="2"/>
      <c r="F21" s="22"/>
      <c r="G21" s="2"/>
      <c r="H21" s="2"/>
      <c r="I21" s="2"/>
      <c r="J21" s="22"/>
      <c r="K21" s="2"/>
      <c r="L21" s="2">
        <f t="shared" si="0"/>
        <v>6785.91</v>
      </c>
      <c r="M21" s="2"/>
      <c r="N21" s="22">
        <f t="shared" si="1"/>
        <v>0</v>
      </c>
      <c r="O21" s="11"/>
      <c r="P21" s="2">
        <f>--111011.54</f>
        <v>111011.54</v>
      </c>
      <c r="Q21" s="2"/>
      <c r="R21" s="22"/>
      <c r="S21" s="2"/>
      <c r="T21" s="2"/>
      <c r="U21" s="2"/>
      <c r="V21" s="22"/>
      <c r="W21" s="2"/>
      <c r="X21" s="2">
        <f t="shared" si="2"/>
        <v>111011.54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--3426.05</f>
        <v>3426.05</v>
      </c>
      <c r="E22" s="2"/>
      <c r="F22" s="22"/>
      <c r="G22" s="2"/>
      <c r="H22" s="2"/>
      <c r="I22" s="2"/>
      <c r="J22" s="22"/>
      <c r="K22" s="2"/>
      <c r="L22" s="2">
        <f t="shared" si="0"/>
        <v>3426.05</v>
      </c>
      <c r="M22" s="2"/>
      <c r="N22" s="22">
        <f t="shared" si="1"/>
        <v>0</v>
      </c>
      <c r="O22" s="11"/>
      <c r="P22" s="2">
        <f>--46387.37</f>
        <v>46387.37</v>
      </c>
      <c r="Q22" s="2"/>
      <c r="R22" s="22"/>
      <c r="S22" s="2"/>
      <c r="T22" s="2"/>
      <c r="U22" s="2"/>
      <c r="V22" s="22"/>
      <c r="W22" s="2"/>
      <c r="X22" s="2">
        <f t="shared" si="2"/>
        <v>46387.37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--1138.95</f>
        <v>1138.95</v>
      </c>
      <c r="Q23" s="2"/>
      <c r="R23" s="22"/>
      <c r="S23" s="2"/>
      <c r="T23" s="2"/>
      <c r="U23" s="2"/>
      <c r="V23" s="22"/>
      <c r="W23" s="2"/>
      <c r="X23" s="2">
        <f t="shared" si="2"/>
        <v>1138.95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--17705.92</f>
        <v>17705.919999999998</v>
      </c>
      <c r="E24" s="2"/>
      <c r="F24" s="22"/>
      <c r="G24" s="2"/>
      <c r="H24" s="2"/>
      <c r="I24" s="2"/>
      <c r="J24" s="22"/>
      <c r="K24" s="2"/>
      <c r="L24" s="2">
        <f t="shared" si="0"/>
        <v>17705.919999999998</v>
      </c>
      <c r="M24" s="2"/>
      <c r="N24" s="22">
        <f t="shared" si="1"/>
        <v>0</v>
      </c>
      <c r="O24" s="11"/>
      <c r="P24" s="2">
        <f>--475874.05</f>
        <v>475874.05</v>
      </c>
      <c r="Q24" s="2"/>
      <c r="R24" s="22"/>
      <c r="S24" s="2"/>
      <c r="T24" s="2"/>
      <c r="U24" s="2"/>
      <c r="V24" s="22"/>
      <c r="W24" s="2"/>
      <c r="X24" s="2">
        <f t="shared" si="2"/>
        <v>475874.05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--3150</f>
        <v>3150</v>
      </c>
      <c r="E25" s="2"/>
      <c r="F25" s="22"/>
      <c r="G25" s="2"/>
      <c r="H25" s="2"/>
      <c r="I25" s="2"/>
      <c r="J25" s="22"/>
      <c r="K25" s="2"/>
      <c r="L25" s="2">
        <f t="shared" si="0"/>
        <v>3150</v>
      </c>
      <c r="M25" s="2"/>
      <c r="N25" s="22">
        <f t="shared" si="1"/>
        <v>0</v>
      </c>
      <c r="O25" s="11"/>
      <c r="P25" s="2">
        <f>--10139.25</f>
        <v>10139.25</v>
      </c>
      <c r="Q25" s="2"/>
      <c r="R25" s="22"/>
      <c r="S25" s="2"/>
      <c r="T25" s="2"/>
      <c r="U25" s="2"/>
      <c r="V25" s="22"/>
      <c r="W25" s="2"/>
      <c r="X25" s="2">
        <f t="shared" si="2"/>
        <v>10139.25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0</f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--771.73</f>
        <v>771.73</v>
      </c>
      <c r="Q26" s="2"/>
      <c r="R26" s="22"/>
      <c r="S26" s="2"/>
      <c r="T26" s="2"/>
      <c r="U26" s="2"/>
      <c r="V26" s="22"/>
      <c r="W26" s="2"/>
      <c r="X26" s="2">
        <f t="shared" si="2"/>
        <v>771.73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-2146.49</f>
        <v>-2146.4899999999998</v>
      </c>
      <c r="E27" s="2"/>
      <c r="F27" s="22"/>
      <c r="G27" s="2"/>
      <c r="H27" s="2"/>
      <c r="I27" s="2"/>
      <c r="J27" s="22"/>
      <c r="K27" s="2"/>
      <c r="L27" s="2">
        <f t="shared" si="0"/>
        <v>-2146.4899999999998</v>
      </c>
      <c r="M27" s="2"/>
      <c r="N27" s="22">
        <f t="shared" si="1"/>
        <v>0</v>
      </c>
      <c r="O27" s="11"/>
      <c r="P27" s="2">
        <f>-50664.23</f>
        <v>-50664.23</v>
      </c>
      <c r="Q27" s="2"/>
      <c r="R27" s="22"/>
      <c r="S27" s="2"/>
      <c r="T27" s="2"/>
      <c r="U27" s="2"/>
      <c r="V27" s="22"/>
      <c r="W27" s="2"/>
      <c r="X27" s="2">
        <f t="shared" si="2"/>
        <v>-50664.23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-1199.21</f>
        <v>-1199.21</v>
      </c>
      <c r="E28" s="2"/>
      <c r="F28" s="22"/>
      <c r="G28" s="2"/>
      <c r="H28" s="2"/>
      <c r="I28" s="2"/>
      <c r="J28" s="22"/>
      <c r="K28" s="2"/>
      <c r="L28" s="2">
        <f t="shared" si="0"/>
        <v>-1199.21</v>
      </c>
      <c r="M28" s="2"/>
      <c r="N28" s="22">
        <f t="shared" si="1"/>
        <v>0</v>
      </c>
      <c r="O28" s="11"/>
      <c r="P28" s="2">
        <f>-19735.51</f>
        <v>-19735.509999999998</v>
      </c>
      <c r="Q28" s="2"/>
      <c r="R28" s="22"/>
      <c r="S28" s="2"/>
      <c r="T28" s="2"/>
      <c r="U28" s="2"/>
      <c r="V28" s="22"/>
      <c r="W28" s="2"/>
      <c r="X28" s="2">
        <f t="shared" si="2"/>
        <v>-19735.509999999998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-132.25</f>
        <v>-132.25</v>
      </c>
      <c r="E29" s="2"/>
      <c r="F29" s="22"/>
      <c r="G29" s="2"/>
      <c r="H29" s="2"/>
      <c r="I29" s="2"/>
      <c r="J29" s="22"/>
      <c r="K29" s="2"/>
      <c r="L29" s="2">
        <f t="shared" si="0"/>
        <v>-132.25</v>
      </c>
      <c r="M29" s="2"/>
      <c r="N29" s="22">
        <f t="shared" si="1"/>
        <v>0</v>
      </c>
      <c r="O29" s="11"/>
      <c r="P29" s="2">
        <f>-1763.1</f>
        <v>-1763.1</v>
      </c>
      <c r="Q29" s="2"/>
      <c r="R29" s="22"/>
      <c r="S29" s="2"/>
      <c r="T29" s="2"/>
      <c r="U29" s="2"/>
      <c r="V29" s="22"/>
      <c r="W29" s="2"/>
      <c r="X29" s="2">
        <f t="shared" si="2"/>
        <v>-1763.1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"4213", " - ", "NON-TAXABLE SALES-TRADE BOOKS")</f>
        <v xml:space="preserve">          4213 - NON-TAXABLE SALES-TRADE BOOKS</v>
      </c>
      <c r="C30" s="11"/>
      <c r="D30" s="2">
        <f>-69.93</f>
        <v>-69.930000000000007</v>
      </c>
      <c r="E30" s="2"/>
      <c r="F30" s="22"/>
      <c r="G30" s="2"/>
      <c r="H30" s="2"/>
      <c r="I30" s="2"/>
      <c r="J30" s="22"/>
      <c r="K30" s="2"/>
      <c r="L30" s="2">
        <f t="shared" si="0"/>
        <v>-69.930000000000007</v>
      </c>
      <c r="M30" s="2"/>
      <c r="N30" s="22">
        <f t="shared" si="1"/>
        <v>0</v>
      </c>
      <c r="O30" s="11"/>
      <c r="P30" s="2">
        <f>-69.93</f>
        <v>-69.930000000000007</v>
      </c>
      <c r="Q30" s="2"/>
      <c r="R30" s="22"/>
      <c r="S30" s="2"/>
      <c r="T30" s="2"/>
      <c r="U30" s="2"/>
      <c r="V30" s="22"/>
      <c r="W30" s="2"/>
      <c r="X30" s="2">
        <f t="shared" si="2"/>
        <v>-69.930000000000007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>-231.5</f>
        <v>-231.5</v>
      </c>
      <c r="E31" s="2"/>
      <c r="F31" s="22"/>
      <c r="G31" s="2"/>
      <c r="H31" s="2"/>
      <c r="I31" s="2"/>
      <c r="J31" s="22"/>
      <c r="K31" s="2"/>
      <c r="L31" s="2">
        <f t="shared" si="0"/>
        <v>-231.5</v>
      </c>
      <c r="M31" s="2"/>
      <c r="N31" s="22">
        <f t="shared" si="1"/>
        <v>0</v>
      </c>
      <c r="O31" s="11"/>
      <c r="P31" s="2">
        <f>-3237.29</f>
        <v>-3237.29</v>
      </c>
      <c r="Q31" s="2"/>
      <c r="R31" s="22"/>
      <c r="S31" s="2"/>
      <c r="T31" s="2"/>
      <c r="U31" s="2"/>
      <c r="V31" s="22"/>
      <c r="W31" s="2"/>
      <c r="X31" s="2">
        <f t="shared" si="2"/>
        <v>-3237.29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>-70.32</f>
        <v>-70.319999999999993</v>
      </c>
      <c r="E32" s="2"/>
      <c r="F32" s="22"/>
      <c r="G32" s="2"/>
      <c r="H32" s="2"/>
      <c r="I32" s="2"/>
      <c r="J32" s="22"/>
      <c r="K32" s="2"/>
      <c r="L32" s="2">
        <f t="shared" si="0"/>
        <v>-70.319999999999993</v>
      </c>
      <c r="M32" s="2"/>
      <c r="N32" s="22">
        <f t="shared" si="1"/>
        <v>0</v>
      </c>
      <c r="O32" s="11"/>
      <c r="P32" s="2">
        <f>-2073.48</f>
        <v>-2073.48</v>
      </c>
      <c r="Q32" s="2"/>
      <c r="R32" s="22"/>
      <c r="S32" s="2"/>
      <c r="T32" s="2"/>
      <c r="U32" s="2"/>
      <c r="V32" s="22"/>
      <c r="W32" s="2"/>
      <c r="X32" s="2">
        <f t="shared" si="2"/>
        <v>-2073.48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>-2172.95</f>
        <v>-2172.9499999999998</v>
      </c>
      <c r="E33" s="2"/>
      <c r="F33" s="22"/>
      <c r="G33" s="2"/>
      <c r="H33" s="2"/>
      <c r="I33" s="2"/>
      <c r="J33" s="22"/>
      <c r="K33" s="2"/>
      <c r="L33" s="2">
        <f t="shared" si="0"/>
        <v>-2172.9499999999998</v>
      </c>
      <c r="M33" s="2"/>
      <c r="N33" s="22">
        <f t="shared" si="1"/>
        <v>0</v>
      </c>
      <c r="O33" s="11"/>
      <c r="P33" s="2">
        <f>-27268.72</f>
        <v>-27268.720000000001</v>
      </c>
      <c r="Q33" s="2"/>
      <c r="R33" s="22"/>
      <c r="S33" s="2"/>
      <c r="T33" s="2"/>
      <c r="U33" s="2"/>
      <c r="V33" s="22"/>
      <c r="W33" s="2"/>
      <c r="X33" s="2">
        <f t="shared" si="2"/>
        <v>-27268.720000000001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41956.999999999978</v>
      </c>
      <c r="E35" s="4"/>
      <c r="F35" s="12">
        <f t="shared" ref="F35:F50" si="4">IF(D$12=0,0,D35/D$12)</f>
        <v>0.67197967900906308</v>
      </c>
      <c r="G35" s="4"/>
      <c r="H35" s="4">
        <f>SUM(OSRRefH16x_0)</f>
        <v>94304</v>
      </c>
      <c r="I35" s="4"/>
      <c r="J35" s="12">
        <f t="shared" ref="J35:J50" si="5">IF(H$12=0,0,H35/H$12)</f>
        <v>0.73000317379221724</v>
      </c>
      <c r="K35" s="4"/>
      <c r="L35" s="4">
        <f t="shared" ref="L35:L50" si="6">+D35-H35</f>
        <v>-52347.000000000022</v>
      </c>
      <c r="M35" s="4"/>
      <c r="N35" s="12">
        <f t="shared" ref="N35:N50" si="7">IF(H35=0,0,L35/H35)</f>
        <v>-0.55508780115371592</v>
      </c>
      <c r="O35" s="10"/>
      <c r="P35" s="4">
        <f>SUM(OSRRefP16x_0)</f>
        <v>1321408.0000000002</v>
      </c>
      <c r="Q35" s="4"/>
      <c r="R35" s="12">
        <f t="shared" ref="R35:R50" si="8">IF(P$12=0,0,P35/P$12)</f>
        <v>0.70812218029252838</v>
      </c>
      <c r="S35" s="4"/>
      <c r="T35" s="4">
        <f>SUM(OSRRefT16x_0)</f>
        <v>2139074</v>
      </c>
      <c r="U35" s="4"/>
      <c r="V35" s="12">
        <f t="shared" ref="V35:V50" si="9">IF(T$12=0,0,T35/T$12)</f>
        <v>0.72740572022406991</v>
      </c>
      <c r="W35" s="4"/>
      <c r="X35" s="4">
        <f t="shared" ref="X35:X50" si="10">+P35-T35</f>
        <v>-817665.99999999977</v>
      </c>
      <c r="Y35" s="4"/>
      <c r="Z35" s="12">
        <f t="shared" ref="Z35:Z50" si="11">IF(T35=0,0,X35/T35)</f>
        <v>-0.38225232039658269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4"/>
        <v>0</v>
      </c>
      <c r="G36" s="2"/>
      <c r="H36" s="2">
        <v>94304</v>
      </c>
      <c r="I36" s="2"/>
      <c r="J36" s="22">
        <f t="shared" si="5"/>
        <v>0.73000317379221724</v>
      </c>
      <c r="K36" s="2"/>
      <c r="L36" s="2">
        <f t="shared" si="6"/>
        <v>-94304</v>
      </c>
      <c r="M36" s="2"/>
      <c r="N36" s="22">
        <f t="shared" si="7"/>
        <v>-1</v>
      </c>
      <c r="O36" s="11"/>
      <c r="P36" s="2"/>
      <c r="Q36" s="2"/>
      <c r="R36" s="22">
        <f t="shared" si="8"/>
        <v>0</v>
      </c>
      <c r="S36" s="2"/>
      <c r="T36" s="2">
        <v>2139074</v>
      </c>
      <c r="U36" s="2"/>
      <c r="V36" s="22">
        <f t="shared" si="9"/>
        <v>0.72740572022406991</v>
      </c>
      <c r="W36" s="2"/>
      <c r="X36" s="2">
        <f t="shared" si="10"/>
        <v>-2139074</v>
      </c>
      <c r="Y36" s="2"/>
      <c r="Z36" s="22">
        <f t="shared" si="11"/>
        <v>-1</v>
      </c>
    </row>
    <row r="37" spans="1:26" s="24" customFormat="1" hidden="1" outlineLevel="1" x14ac:dyDescent="0.25">
      <c r="A37" s="51"/>
      <c r="B37" s="11" t="str">
        <f>CONCATENATE("          ", "5001", " - ", "PURCHASES @ COST-NEW TEXT")</f>
        <v xml:space="preserve">          5001 - PURCHASES @ COST-NEW TEXT</v>
      </c>
      <c r="C37" s="11"/>
      <c r="D37" s="2">
        <v>-339987.31</v>
      </c>
      <c r="E37" s="2"/>
      <c r="F37" s="22">
        <f t="shared" si="4"/>
        <v>-5.445207317991156</v>
      </c>
      <c r="G37" s="2"/>
      <c r="H37" s="2"/>
      <c r="I37" s="2"/>
      <c r="J37" s="22">
        <f t="shared" si="5"/>
        <v>0</v>
      </c>
      <c r="K37" s="2"/>
      <c r="L37" s="2">
        <f t="shared" si="6"/>
        <v>-339987.31</v>
      </c>
      <c r="M37" s="2"/>
      <c r="N37" s="22">
        <f t="shared" si="7"/>
        <v>0</v>
      </c>
      <c r="O37" s="11"/>
      <c r="P37" s="2">
        <v>1026210.7400000001</v>
      </c>
      <c r="Q37" s="2"/>
      <c r="R37" s="22">
        <f t="shared" si="8"/>
        <v>0.54993051854416575</v>
      </c>
      <c r="S37" s="2"/>
      <c r="T37" s="2"/>
      <c r="U37" s="2"/>
      <c r="V37" s="22">
        <f t="shared" si="9"/>
        <v>0</v>
      </c>
      <c r="W37" s="2"/>
      <c r="X37" s="2">
        <f t="shared" si="10"/>
        <v>1026210.7400000001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"5002", " - ", "PURCHASES @ COST-USED TEXT")</f>
        <v xml:space="preserve">          5002 - PURCHASES @ COST-USED TEXT</v>
      </c>
      <c r="C38" s="11"/>
      <c r="D38" s="2">
        <v>117407.3</v>
      </c>
      <c r="E38" s="2"/>
      <c r="F38" s="22">
        <f t="shared" si="4"/>
        <v>1.8803851506857214</v>
      </c>
      <c r="G38" s="2"/>
      <c r="H38" s="2"/>
      <c r="I38" s="2"/>
      <c r="J38" s="22">
        <f t="shared" si="5"/>
        <v>0</v>
      </c>
      <c r="K38" s="2"/>
      <c r="L38" s="2">
        <f t="shared" si="6"/>
        <v>117407.3</v>
      </c>
      <c r="M38" s="2"/>
      <c r="N38" s="22">
        <f t="shared" si="7"/>
        <v>0</v>
      </c>
      <c r="O38" s="11"/>
      <c r="P38" s="2">
        <v>140429.77000000002</v>
      </c>
      <c r="Q38" s="2"/>
      <c r="R38" s="22">
        <f t="shared" si="8"/>
        <v>7.5254149294069872E-2</v>
      </c>
      <c r="S38" s="2"/>
      <c r="T38" s="2"/>
      <c r="U38" s="2"/>
      <c r="V38" s="22">
        <f t="shared" si="9"/>
        <v>0</v>
      </c>
      <c r="W38" s="2"/>
      <c r="X38" s="2">
        <f t="shared" si="10"/>
        <v>140429.77000000002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"5003", " - ", "PURCHASES @ COST-RENTAL TEXT")</f>
        <v xml:space="preserve">          5003 - PURCHASES @ COST-RENTAL TEXT</v>
      </c>
      <c r="C39" s="11"/>
      <c r="D39" s="2"/>
      <c r="E39" s="2"/>
      <c r="F39" s="22">
        <f t="shared" si="4"/>
        <v>0</v>
      </c>
      <c r="G39" s="2"/>
      <c r="H39" s="2"/>
      <c r="I39" s="2"/>
      <c r="J39" s="22">
        <f t="shared" si="5"/>
        <v>0</v>
      </c>
      <c r="K39" s="2"/>
      <c r="L39" s="2">
        <f t="shared" si="6"/>
        <v>0</v>
      </c>
      <c r="M39" s="2"/>
      <c r="N39" s="22">
        <f t="shared" si="7"/>
        <v>0</v>
      </c>
      <c r="O39" s="11"/>
      <c r="P39" s="2">
        <v>32.520000000000003</v>
      </c>
      <c r="Q39" s="2"/>
      <c r="R39" s="22">
        <f t="shared" si="8"/>
        <v>1.7426966768108729E-5</v>
      </c>
      <c r="S39" s="2"/>
      <c r="T39" s="2"/>
      <c r="U39" s="2"/>
      <c r="V39" s="22">
        <f t="shared" si="9"/>
        <v>0</v>
      </c>
      <c r="W39" s="2"/>
      <c r="X39" s="2">
        <f t="shared" si="10"/>
        <v>32.520000000000003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3282.02</v>
      </c>
      <c r="E40" s="2"/>
      <c r="F40" s="22">
        <f t="shared" si="4"/>
        <v>5.2564548135026964E-2</v>
      </c>
      <c r="G40" s="2"/>
      <c r="H40" s="2"/>
      <c r="I40" s="2"/>
      <c r="J40" s="22">
        <f t="shared" si="5"/>
        <v>0</v>
      </c>
      <c r="K40" s="2"/>
      <c r="L40" s="2">
        <f t="shared" si="6"/>
        <v>3282.02</v>
      </c>
      <c r="M40" s="2"/>
      <c r="N40" s="22">
        <f t="shared" si="7"/>
        <v>0</v>
      </c>
      <c r="O40" s="11"/>
      <c r="P40" s="2">
        <v>220008.58000000002</v>
      </c>
      <c r="Q40" s="2"/>
      <c r="R40" s="22">
        <f t="shared" si="8"/>
        <v>0.11789920702210305</v>
      </c>
      <c r="S40" s="2"/>
      <c r="T40" s="2"/>
      <c r="U40" s="2"/>
      <c r="V40" s="22">
        <f t="shared" si="9"/>
        <v>0</v>
      </c>
      <c r="W40" s="2"/>
      <c r="X40" s="2">
        <f t="shared" si="10"/>
        <v>220008.58000000002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"5011", " - ", "PURCHASES @ COST-NO VALUE TEXT")</f>
        <v xml:space="preserve">          5011 - PURCHASES @ COST-NO VALUE TEXT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67.17</v>
      </c>
      <c r="Q41" s="2"/>
      <c r="R41" s="22">
        <f t="shared" si="8"/>
        <v>3.5995367706453363E-5</v>
      </c>
      <c r="S41" s="2"/>
      <c r="T41" s="2"/>
      <c r="U41" s="2"/>
      <c r="V41" s="22">
        <f t="shared" si="9"/>
        <v>0</v>
      </c>
      <c r="W41" s="2"/>
      <c r="X41" s="2">
        <f t="shared" si="10"/>
        <v>67.17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"5013", " - ", "PURCHASES @ COST-TRADE BOOKS")</f>
        <v xml:space="preserve">          5013 - PURCHASES @ COST-TRADE BOOKS</v>
      </c>
      <c r="C42" s="11"/>
      <c r="D42" s="2">
        <v>305.11</v>
      </c>
      <c r="E42" s="2"/>
      <c r="F42" s="22">
        <f t="shared" si="4"/>
        <v>4.8866153410028201E-3</v>
      </c>
      <c r="G42" s="2"/>
      <c r="H42" s="2"/>
      <c r="I42" s="2"/>
      <c r="J42" s="22">
        <f t="shared" si="5"/>
        <v>0</v>
      </c>
      <c r="K42" s="2"/>
      <c r="L42" s="2">
        <f t="shared" si="6"/>
        <v>305.11</v>
      </c>
      <c r="M42" s="2"/>
      <c r="N42" s="22">
        <f t="shared" si="7"/>
        <v>0</v>
      </c>
      <c r="O42" s="11"/>
      <c r="P42" s="2">
        <v>5962.09</v>
      </c>
      <c r="Q42" s="2"/>
      <c r="R42" s="22">
        <f t="shared" si="8"/>
        <v>3.1949921370994271E-3</v>
      </c>
      <c r="S42" s="2"/>
      <c r="T42" s="2"/>
      <c r="U42" s="2"/>
      <c r="V42" s="22">
        <f t="shared" si="9"/>
        <v>0</v>
      </c>
      <c r="W42" s="2"/>
      <c r="X42" s="2">
        <f t="shared" si="10"/>
        <v>5962.09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"5014", " - ", "PURCHASES @ COST-REMAINDERS")</f>
        <v xml:space="preserve">          5014 - PURCHASES @ COST-REMAINDERS</v>
      </c>
      <c r="C43" s="11"/>
      <c r="D43" s="2">
        <v>21.16</v>
      </c>
      <c r="E43" s="2"/>
      <c r="F43" s="22">
        <f t="shared" si="4"/>
        <v>3.3889672778873085E-4</v>
      </c>
      <c r="G43" s="2"/>
      <c r="H43" s="2"/>
      <c r="I43" s="2"/>
      <c r="J43" s="22">
        <f t="shared" si="5"/>
        <v>0</v>
      </c>
      <c r="K43" s="2"/>
      <c r="L43" s="2">
        <f t="shared" si="6"/>
        <v>21.16</v>
      </c>
      <c r="M43" s="2"/>
      <c r="N43" s="22">
        <f t="shared" si="7"/>
        <v>0</v>
      </c>
      <c r="O43" s="11"/>
      <c r="P43" s="2">
        <v>111.57</v>
      </c>
      <c r="Q43" s="2"/>
      <c r="R43" s="22">
        <f t="shared" si="8"/>
        <v>5.9788643367708817E-5</v>
      </c>
      <c r="S43" s="2"/>
      <c r="T43" s="2"/>
      <c r="U43" s="2"/>
      <c r="V43" s="22">
        <f t="shared" si="9"/>
        <v>0</v>
      </c>
      <c r="W43" s="2"/>
      <c r="X43" s="2">
        <f t="shared" si="10"/>
        <v>111.57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"5018", " - ", "PURCHASES @ COST-STUDY GUIDES")</f>
        <v xml:space="preserve">          5018 - PURCHASES @ COST-STUDY GUIDES</v>
      </c>
      <c r="C44" s="11"/>
      <c r="D44" s="2"/>
      <c r="E44" s="2"/>
      <c r="F44" s="22">
        <f t="shared" si="4"/>
        <v>0</v>
      </c>
      <c r="G44" s="2"/>
      <c r="H44" s="2"/>
      <c r="I44" s="2"/>
      <c r="J44" s="22">
        <f t="shared" si="5"/>
        <v>0</v>
      </c>
      <c r="K44" s="2"/>
      <c r="L44" s="2">
        <f t="shared" si="6"/>
        <v>0</v>
      </c>
      <c r="M44" s="2"/>
      <c r="N44" s="22">
        <f t="shared" si="7"/>
        <v>0</v>
      </c>
      <c r="O44" s="11"/>
      <c r="P44" s="2">
        <v>522.34</v>
      </c>
      <c r="Q44" s="2"/>
      <c r="R44" s="22">
        <f t="shared" si="8"/>
        <v>2.7991395515540942E-4</v>
      </c>
      <c r="S44" s="2"/>
      <c r="T44" s="2"/>
      <c r="U44" s="2"/>
      <c r="V44" s="22">
        <f t="shared" si="9"/>
        <v>0</v>
      </c>
      <c r="W44" s="2"/>
      <c r="X44" s="2">
        <f t="shared" si="10"/>
        <v>522.34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"5200", " - ", "PURCHASES OFFSET")</f>
        <v xml:space="preserve">          5200 - PURCHASES OFFSET</v>
      </c>
      <c r="C45" s="11"/>
      <c r="D45" s="2">
        <v>212842.2</v>
      </c>
      <c r="E45" s="2"/>
      <c r="F45" s="22">
        <f t="shared" si="4"/>
        <v>3.408862245527156</v>
      </c>
      <c r="G45" s="2"/>
      <c r="H45" s="2"/>
      <c r="I45" s="2"/>
      <c r="J45" s="22">
        <f t="shared" si="5"/>
        <v>0</v>
      </c>
      <c r="K45" s="2"/>
      <c r="L45" s="2">
        <f t="shared" si="6"/>
        <v>212842.2</v>
      </c>
      <c r="M45" s="2"/>
      <c r="N45" s="22">
        <f t="shared" si="7"/>
        <v>0</v>
      </c>
      <c r="O45" s="11"/>
      <c r="P45" s="2">
        <v>-1459800.9000000001</v>
      </c>
      <c r="Q45" s="2"/>
      <c r="R45" s="22">
        <f t="shared" si="8"/>
        <v>-0.7822848023479464</v>
      </c>
      <c r="S45" s="2"/>
      <c r="T45" s="2"/>
      <c r="U45" s="2"/>
      <c r="V45" s="22">
        <f t="shared" si="9"/>
        <v>0</v>
      </c>
      <c r="W45" s="2"/>
      <c r="X45" s="2">
        <f t="shared" si="10"/>
        <v>-1459800.9000000001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"5300", " - ", "COG$ OFFSET")</f>
        <v xml:space="preserve">          5300 - COG$ OFFSET</v>
      </c>
      <c r="C46" s="11"/>
      <c r="D46" s="2">
        <v>41957</v>
      </c>
      <c r="E46" s="2"/>
      <c r="F46" s="22">
        <f t="shared" si="4"/>
        <v>0.67197967900906341</v>
      </c>
      <c r="G46" s="2"/>
      <c r="H46" s="2"/>
      <c r="I46" s="2"/>
      <c r="J46" s="22">
        <f t="shared" si="5"/>
        <v>0</v>
      </c>
      <c r="K46" s="2"/>
      <c r="L46" s="2">
        <f t="shared" si="6"/>
        <v>41957</v>
      </c>
      <c r="M46" s="2"/>
      <c r="N46" s="22">
        <f t="shared" si="7"/>
        <v>0</v>
      </c>
      <c r="O46" s="11"/>
      <c r="P46" s="2">
        <v>1321408</v>
      </c>
      <c r="Q46" s="2"/>
      <c r="R46" s="22">
        <f t="shared" si="8"/>
        <v>0.70812218029252827</v>
      </c>
      <c r="S46" s="2"/>
      <c r="T46" s="2"/>
      <c r="U46" s="2"/>
      <c r="V46" s="22">
        <f t="shared" si="9"/>
        <v>0</v>
      </c>
      <c r="W46" s="2"/>
      <c r="X46" s="2">
        <f t="shared" si="10"/>
        <v>1321408</v>
      </c>
      <c r="Y46" s="2"/>
      <c r="Z46" s="22">
        <f t="shared" si="11"/>
        <v>0</v>
      </c>
    </row>
    <row r="47" spans="1:26" s="24" customFormat="1" hidden="1" outlineLevel="1" x14ac:dyDescent="0.25">
      <c r="A47" s="51"/>
      <c r="B47" s="11" t="str">
        <f>CONCATENATE("          ", "5501", " - ", "FREIGHT-IN-NEW TEXT")</f>
        <v xml:space="preserve">          5501 - FREIGHT-IN-NEW TEXT</v>
      </c>
      <c r="C47" s="11"/>
      <c r="D47" s="2">
        <v>4638.13</v>
      </c>
      <c r="E47" s="2"/>
      <c r="F47" s="22">
        <f t="shared" si="4"/>
        <v>7.428388847158536E-2</v>
      </c>
      <c r="G47" s="2"/>
      <c r="H47" s="2"/>
      <c r="I47" s="2"/>
      <c r="J47" s="22">
        <f t="shared" si="5"/>
        <v>0</v>
      </c>
      <c r="K47" s="2"/>
      <c r="L47" s="2">
        <f t="shared" si="6"/>
        <v>4638.13</v>
      </c>
      <c r="M47" s="2"/>
      <c r="N47" s="22">
        <f t="shared" si="7"/>
        <v>0</v>
      </c>
      <c r="O47" s="11"/>
      <c r="P47" s="2">
        <v>49256.92</v>
      </c>
      <c r="Q47" s="2"/>
      <c r="R47" s="22">
        <f t="shared" si="8"/>
        <v>2.6396024229378541E-2</v>
      </c>
      <c r="S47" s="2"/>
      <c r="T47" s="2"/>
      <c r="U47" s="2"/>
      <c r="V47" s="22">
        <f t="shared" si="9"/>
        <v>0</v>
      </c>
      <c r="W47" s="2"/>
      <c r="X47" s="2">
        <f t="shared" si="10"/>
        <v>49256.92</v>
      </c>
      <c r="Y47" s="2"/>
      <c r="Z47" s="22">
        <f t="shared" si="11"/>
        <v>0</v>
      </c>
    </row>
    <row r="48" spans="1:26" s="24" customFormat="1" hidden="1" outlineLevel="1" x14ac:dyDescent="0.25">
      <c r="A48" s="51"/>
      <c r="B48" s="11" t="str">
        <f>CONCATENATE("          ", "5502", " - ", "FREIGHT-IN-USED TEXT")</f>
        <v xml:space="preserve">          5502 - FREIGHT-IN-USED TEXT</v>
      </c>
      <c r="C48" s="11"/>
      <c r="D48" s="2">
        <v>1484.45</v>
      </c>
      <c r="E48" s="2"/>
      <c r="F48" s="22">
        <f t="shared" si="4"/>
        <v>2.377482266379875E-2</v>
      </c>
      <c r="G48" s="2"/>
      <c r="H48" s="2"/>
      <c r="I48" s="2"/>
      <c r="J48" s="22">
        <f t="shared" si="5"/>
        <v>0</v>
      </c>
      <c r="K48" s="2"/>
      <c r="L48" s="2">
        <f t="shared" si="6"/>
        <v>1484.45</v>
      </c>
      <c r="M48" s="2"/>
      <c r="N48" s="22">
        <f t="shared" si="7"/>
        <v>0</v>
      </c>
      <c r="O48" s="11"/>
      <c r="P48" s="2">
        <v>17136.759999999998</v>
      </c>
      <c r="Q48" s="2"/>
      <c r="R48" s="22">
        <f t="shared" si="8"/>
        <v>9.183325554521983E-3</v>
      </c>
      <c r="S48" s="2"/>
      <c r="T48" s="2"/>
      <c r="U48" s="2"/>
      <c r="V48" s="22">
        <f t="shared" si="9"/>
        <v>0</v>
      </c>
      <c r="W48" s="2"/>
      <c r="X48" s="2">
        <f t="shared" si="10"/>
        <v>17136.759999999998</v>
      </c>
      <c r="Y48" s="2"/>
      <c r="Z48" s="22">
        <f t="shared" si="11"/>
        <v>0</v>
      </c>
    </row>
    <row r="49" spans="1:26" s="24" customFormat="1" hidden="1" outlineLevel="1" x14ac:dyDescent="0.25">
      <c r="A49" s="51"/>
      <c r="B49" s="11" t="str">
        <f>CONCATENATE("          ", "5504", " - ", "FREIGHT-IN-DIGITAL TEXT")</f>
        <v xml:space="preserve">          5504 - FREIGHT-IN-DIGITAL TEXT</v>
      </c>
      <c r="C49" s="11"/>
      <c r="D49" s="2">
        <v>6.94</v>
      </c>
      <c r="E49" s="2"/>
      <c r="F49" s="22">
        <f t="shared" si="4"/>
        <v>1.1115043907626618E-4</v>
      </c>
      <c r="G49" s="2"/>
      <c r="H49" s="2"/>
      <c r="I49" s="2"/>
      <c r="J49" s="22">
        <f t="shared" si="5"/>
        <v>0</v>
      </c>
      <c r="K49" s="2"/>
      <c r="L49" s="2">
        <f t="shared" si="6"/>
        <v>6.94</v>
      </c>
      <c r="M49" s="2"/>
      <c r="N49" s="22">
        <f t="shared" si="7"/>
        <v>0</v>
      </c>
      <c r="O49" s="11"/>
      <c r="P49" s="2">
        <v>28.92</v>
      </c>
      <c r="Q49" s="2"/>
      <c r="R49" s="22">
        <f t="shared" si="8"/>
        <v>1.5497782255033963E-5</v>
      </c>
      <c r="S49" s="2"/>
      <c r="T49" s="2"/>
      <c r="U49" s="2"/>
      <c r="V49" s="22">
        <f t="shared" si="9"/>
        <v>0</v>
      </c>
      <c r="W49" s="2"/>
      <c r="X49" s="2">
        <f t="shared" si="10"/>
        <v>28.92</v>
      </c>
      <c r="Y49" s="2"/>
      <c r="Z49" s="22">
        <f t="shared" si="11"/>
        <v>0</v>
      </c>
    </row>
    <row r="50" spans="1:26" s="24" customFormat="1" hidden="1" outlineLevel="1" x14ac:dyDescent="0.25">
      <c r="A50" s="51"/>
      <c r="B50" s="11" t="str">
        <f>CONCATENATE("          ", "5513", " - ", "FREIGHT-IN-TRADE BOOKS")</f>
        <v xml:space="preserve">          5513 - FREIGHT-IN-TRADE BOOKS</v>
      </c>
      <c r="C50" s="11"/>
      <c r="D50" s="2"/>
      <c r="E50" s="2"/>
      <c r="F50" s="22">
        <f t="shared" si="4"/>
        <v>0</v>
      </c>
      <c r="G50" s="2"/>
      <c r="H50" s="2"/>
      <c r="I50" s="2"/>
      <c r="J50" s="22">
        <f t="shared" si="5"/>
        <v>0</v>
      </c>
      <c r="K50" s="2"/>
      <c r="L50" s="2">
        <f t="shared" si="6"/>
        <v>0</v>
      </c>
      <c r="M50" s="2"/>
      <c r="N50" s="22">
        <f t="shared" si="7"/>
        <v>0</v>
      </c>
      <c r="O50" s="11"/>
      <c r="P50" s="2">
        <v>33.520000000000003</v>
      </c>
      <c r="Q50" s="2"/>
      <c r="R50" s="22">
        <f t="shared" si="8"/>
        <v>1.7962851355073945E-5</v>
      </c>
      <c r="S50" s="2"/>
      <c r="T50" s="2"/>
      <c r="U50" s="2"/>
      <c r="V50" s="22">
        <f t="shared" si="9"/>
        <v>0</v>
      </c>
      <c r="W50" s="2"/>
      <c r="X50" s="2">
        <f t="shared" si="10"/>
        <v>33.520000000000003</v>
      </c>
      <c r="Y50" s="2"/>
      <c r="Z50" s="22">
        <f t="shared" si="11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5" t="s">
        <v>6</v>
      </c>
      <c r="C52" s="25"/>
      <c r="D52" s="19">
        <f>D12-D35</f>
        <v>20480.900000000023</v>
      </c>
      <c r="E52" s="13"/>
      <c r="F52" s="21">
        <f>IF(D$12=0,0,D52/D$12)</f>
        <v>0.32802032099093698</v>
      </c>
      <c r="G52" s="13"/>
      <c r="H52" s="19">
        <f>H12-H35</f>
        <v>34879</v>
      </c>
      <c r="I52" s="13"/>
      <c r="J52" s="21">
        <f>IF(H$12=0,0,H52/H$12)</f>
        <v>0.26999682620778276</v>
      </c>
      <c r="K52" s="15"/>
      <c r="L52" s="19">
        <f>+D52-H52</f>
        <v>-14398.099999999977</v>
      </c>
      <c r="M52" s="15"/>
      <c r="N52" s="21">
        <f>IF(H52=0,0,L52/H52)</f>
        <v>-0.4128013991226806</v>
      </c>
      <c r="O52" s="26"/>
      <c r="P52" s="19">
        <f>P12-P35</f>
        <v>544665.44999999949</v>
      </c>
      <c r="Q52" s="13"/>
      <c r="R52" s="21">
        <f>IF(P$12=0,0,P52/P$12)</f>
        <v>0.29187781970747162</v>
      </c>
      <c r="S52" s="13"/>
      <c r="T52" s="19">
        <f>T12-T35</f>
        <v>801615</v>
      </c>
      <c r="U52" s="13"/>
      <c r="V52" s="21">
        <f>IF(T$12=0,0,T52/T$12)</f>
        <v>0.27259427977593004</v>
      </c>
      <c r="W52" s="15"/>
      <c r="X52" s="19">
        <f>+P52-T52</f>
        <v>-256949.55000000051</v>
      </c>
      <c r="Y52" s="15"/>
      <c r="Z52" s="21">
        <f>IF(T52=0,0,X52/T52)</f>
        <v>-0.32053984768249161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9</v>
      </c>
      <c r="C54" s="10"/>
      <c r="D54" s="20">
        <f>SUM(OSRRefD22x_0)</f>
        <v>39269.65</v>
      </c>
      <c r="E54" s="20"/>
      <c r="F54" s="33">
        <f t="shared" ref="F54:F65" si="12">IF(D$12=0,0,D54/D$12)</f>
        <v>0.62893931410249226</v>
      </c>
      <c r="G54" s="20"/>
      <c r="H54" s="20">
        <f>SUM(OSRRefH22x_0)</f>
        <v>54288.161433611524</v>
      </c>
      <c r="I54" s="20"/>
      <c r="J54" s="33">
        <f t="shared" ref="J54:J65" si="13">IF(H$12=0,0,H54/H$12)</f>
        <v>0.42024230303996285</v>
      </c>
      <c r="K54" s="4"/>
      <c r="L54" s="20">
        <f t="shared" ref="L54:L65" si="14">+D54-H54</f>
        <v>-15018.511433611522</v>
      </c>
      <c r="M54" s="4"/>
      <c r="N54" s="33">
        <f t="shared" ref="N54:N65" si="15">IF(H54=0,0,L54/H54)</f>
        <v>-0.27664431870616057</v>
      </c>
      <c r="O54" s="10"/>
      <c r="P54" s="20">
        <f>SUM(OSRRefP22x_0)</f>
        <v>362260.23999999993</v>
      </c>
      <c r="Q54" s="20"/>
      <c r="R54" s="33">
        <f t="shared" ref="R54:R65" si="16">IF(P$12=0,0,P54/P$12)</f>
        <v>0.19412967908631892</v>
      </c>
      <c r="S54" s="20"/>
      <c r="T54" s="20">
        <f>SUM(OSRRefT22x_0)</f>
        <v>459141.29133053846</v>
      </c>
      <c r="U54" s="20"/>
      <c r="V54" s="33">
        <f t="shared" ref="V54:V65" si="17">IF(T$12=0,0,T54/T$12)</f>
        <v>0.15613391668773491</v>
      </c>
      <c r="W54" s="4"/>
      <c r="X54" s="20">
        <f t="shared" ref="X54:X65" si="18">+P54-T54</f>
        <v>-96881.051330538525</v>
      </c>
      <c r="Y54" s="4"/>
      <c r="Z54" s="33">
        <f t="shared" ref="Z54:Z65" si="19">IF(T54=0,0,X54/T54)</f>
        <v>-0.21100487618917571</v>
      </c>
    </row>
    <row r="55" spans="1:26" s="28" customFormat="1" outlineLevel="1" collapsed="1" x14ac:dyDescent="0.25">
      <c r="A55" s="29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11929.13</v>
      </c>
      <c r="E55" s="1"/>
      <c r="F55" s="5">
        <f t="shared" si="12"/>
        <v>0.19105591315531109</v>
      </c>
      <c r="G55" s="1"/>
      <c r="H55" s="1">
        <f>SUM(OSRRefH22_0x_0)</f>
        <v>11568.036789919228</v>
      </c>
      <c r="I55" s="1"/>
      <c r="J55" s="5">
        <f t="shared" si="13"/>
        <v>8.9547671055163827E-2</v>
      </c>
      <c r="K55" s="1"/>
      <c r="L55" s="1">
        <f t="shared" si="14"/>
        <v>361.09321008077131</v>
      </c>
      <c r="M55" s="1"/>
      <c r="N55" s="5">
        <f t="shared" si="15"/>
        <v>3.1214735623545039E-2</v>
      </c>
      <c r="O55" s="14"/>
      <c r="P55" s="1">
        <f>SUM(OSRRefP22_0x_0)</f>
        <v>93726.34</v>
      </c>
      <c r="Q55" s="1"/>
      <c r="R55" s="5">
        <f t="shared" si="16"/>
        <v>5.0226500998661126E-2</v>
      </c>
      <c r="S55" s="1"/>
      <c r="T55" s="1">
        <f>SUM(OSRRefT22_0x_0)</f>
        <v>101303.96382323076</v>
      </c>
      <c r="U55" s="1"/>
      <c r="V55" s="5">
        <f t="shared" si="17"/>
        <v>3.4449057286653151E-2</v>
      </c>
      <c r="W55" s="1"/>
      <c r="X55" s="1">
        <f t="shared" si="18"/>
        <v>-7577.623823230766</v>
      </c>
      <c r="Y55" s="1"/>
      <c r="Z55" s="5">
        <f t="shared" si="19"/>
        <v>-7.4800862051688885E-2</v>
      </c>
    </row>
    <row r="56" spans="1:26" s="24" customFormat="1" hidden="1" outlineLevel="2" x14ac:dyDescent="0.25">
      <c r="A56" s="27"/>
      <c r="B56" s="11" t="str">
        <f>CONCATENATE("          ", "6111", " - ", "F.I.C.A.")</f>
        <v xml:space="preserve">          6111 - F.I.C.A.</v>
      </c>
      <c r="C56" s="11"/>
      <c r="D56" s="7">
        <v>1875.59</v>
      </c>
      <c r="E56" s="2"/>
      <c r="F56" s="6">
        <f t="shared" si="12"/>
        <v>3.0039287035598567E-2</v>
      </c>
      <c r="G56" s="2"/>
      <c r="H56" s="7">
        <v>1568.3171629384599</v>
      </c>
      <c r="I56" s="2"/>
      <c r="J56" s="6">
        <f t="shared" si="13"/>
        <v>1.214027513634503E-2</v>
      </c>
      <c r="K56" s="2"/>
      <c r="L56" s="7">
        <f t="shared" si="14"/>
        <v>307.27283706154003</v>
      </c>
      <c r="M56" s="2"/>
      <c r="N56" s="6">
        <f t="shared" si="15"/>
        <v>0.19592518931937319</v>
      </c>
      <c r="O56" s="11"/>
      <c r="P56" s="7">
        <v>17001.2</v>
      </c>
      <c r="Q56" s="2"/>
      <c r="R56" s="6">
        <f t="shared" si="16"/>
        <v>9.1106810399129799E-3</v>
      </c>
      <c r="S56" s="2"/>
      <c r="T56" s="7">
        <v>15907.00738283654</v>
      </c>
      <c r="U56" s="2"/>
      <c r="V56" s="6">
        <f t="shared" si="17"/>
        <v>5.4092790440731882E-3</v>
      </c>
      <c r="W56" s="2"/>
      <c r="X56" s="7">
        <f t="shared" si="18"/>
        <v>1094.1926171634605</v>
      </c>
      <c r="Y56" s="2"/>
      <c r="Z56" s="6">
        <f t="shared" si="19"/>
        <v>6.8786830283619566E-2</v>
      </c>
    </row>
    <row r="57" spans="1:26" s="24" customFormat="1" hidden="1" outlineLevel="2" x14ac:dyDescent="0.25">
      <c r="A57" s="27"/>
      <c r="B57" s="11" t="str">
        <f>CONCATENATE("          ", "6112", " - ", "COMPENSATION INSURANCE")</f>
        <v xml:space="preserve">          6112 - COMPENSATION INSURANCE</v>
      </c>
      <c r="C57" s="11"/>
      <c r="D57" s="7">
        <v>86.99</v>
      </c>
      <c r="E57" s="2"/>
      <c r="F57" s="6">
        <f t="shared" si="12"/>
        <v>1.3932243076721028E-3</v>
      </c>
      <c r="G57" s="2"/>
      <c r="H57" s="7">
        <v>595.32933471153899</v>
      </c>
      <c r="I57" s="2"/>
      <c r="J57" s="6">
        <f t="shared" si="13"/>
        <v>4.6084185590328369E-3</v>
      </c>
      <c r="K57" s="2"/>
      <c r="L57" s="7">
        <f t="shared" si="14"/>
        <v>-508.33933471153898</v>
      </c>
      <c r="M57" s="2"/>
      <c r="N57" s="6">
        <f t="shared" si="15"/>
        <v>-0.85387919773489718</v>
      </c>
      <c r="O57" s="11"/>
      <c r="P57" s="7">
        <v>943.96</v>
      </c>
      <c r="Q57" s="2"/>
      <c r="R57" s="6">
        <f t="shared" si="16"/>
        <v>5.058536147116825E-4</v>
      </c>
      <c r="S57" s="2"/>
      <c r="T57" s="7">
        <v>5584.9820609134604</v>
      </c>
      <c r="U57" s="2"/>
      <c r="V57" s="6">
        <f t="shared" si="17"/>
        <v>1.8992086755564633E-3</v>
      </c>
      <c r="W57" s="2"/>
      <c r="X57" s="7">
        <f t="shared" si="18"/>
        <v>-4641.0220609134603</v>
      </c>
      <c r="Y57" s="2"/>
      <c r="Z57" s="6">
        <f t="shared" si="19"/>
        <v>-0.83098244726580028</v>
      </c>
    </row>
    <row r="58" spans="1:26" s="24" customFormat="1" hidden="1" outlineLevel="2" x14ac:dyDescent="0.25">
      <c r="A58" s="27"/>
      <c r="B58" s="11" t="str">
        <f>CONCATENATE("          ", "6113", " - ", "GROUP INSURANCE")</f>
        <v xml:space="preserve">          6113 - GROUP INSURANCE</v>
      </c>
      <c r="C58" s="11"/>
      <c r="D58" s="7">
        <v>4943.91</v>
      </c>
      <c r="E58" s="2"/>
      <c r="F58" s="6">
        <f t="shared" si="12"/>
        <v>7.9181234474573939E-2</v>
      </c>
      <c r="G58" s="2"/>
      <c r="H58" s="7">
        <v>4662.6923076923094</v>
      </c>
      <c r="I58" s="2"/>
      <c r="J58" s="6">
        <f t="shared" si="13"/>
        <v>3.6093698920851111E-2</v>
      </c>
      <c r="K58" s="2"/>
      <c r="L58" s="7">
        <f t="shared" si="14"/>
        <v>281.21769230769041</v>
      </c>
      <c r="M58" s="2"/>
      <c r="N58" s="6">
        <f t="shared" si="15"/>
        <v>6.0312298935906526E-2</v>
      </c>
      <c r="O58" s="11"/>
      <c r="P58" s="7">
        <v>35276.04</v>
      </c>
      <c r="Q58" s="2"/>
      <c r="R58" s="6">
        <f t="shared" si="16"/>
        <v>1.8903886125168336E-2</v>
      </c>
      <c r="S58" s="2"/>
      <c r="T58" s="7">
        <v>38222.307692307688</v>
      </c>
      <c r="U58" s="2"/>
      <c r="V58" s="6">
        <f t="shared" si="17"/>
        <v>1.2997738860623373E-2</v>
      </c>
      <c r="W58" s="2"/>
      <c r="X58" s="7">
        <f t="shared" si="18"/>
        <v>-2946.267692307687</v>
      </c>
      <c r="Y58" s="2"/>
      <c r="Z58" s="6">
        <f t="shared" si="19"/>
        <v>-7.7082412606411757E-2</v>
      </c>
    </row>
    <row r="59" spans="1:26" s="24" customFormat="1" hidden="1" outlineLevel="2" x14ac:dyDescent="0.2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7">
        <v>68.540000000000006</v>
      </c>
      <c r="E59" s="2"/>
      <c r="F59" s="6">
        <f t="shared" si="12"/>
        <v>1.0977307052287154E-3</v>
      </c>
      <c r="G59" s="2"/>
      <c r="H59" s="7">
        <v>83.667906500000001</v>
      </c>
      <c r="I59" s="2"/>
      <c r="J59" s="6">
        <f t="shared" si="13"/>
        <v>6.4766963532353328E-4</v>
      </c>
      <c r="K59" s="2"/>
      <c r="L59" s="7">
        <f t="shared" si="14"/>
        <v>-15.127906499999995</v>
      </c>
      <c r="M59" s="2"/>
      <c r="N59" s="6">
        <f t="shared" si="15"/>
        <v>-0.18080895211594655</v>
      </c>
      <c r="O59" s="11"/>
      <c r="P59" s="7">
        <v>600.69000000000005</v>
      </c>
      <c r="Q59" s="2"/>
      <c r="R59" s="6">
        <f t="shared" si="16"/>
        <v>3.2190051254413383E-4</v>
      </c>
      <c r="S59" s="2"/>
      <c r="T59" s="7">
        <v>784.91639774999999</v>
      </c>
      <c r="U59" s="2"/>
      <c r="V59" s="6">
        <f t="shared" si="17"/>
        <v>2.6691581386198947E-4</v>
      </c>
      <c r="W59" s="2"/>
      <c r="X59" s="7">
        <f t="shared" si="18"/>
        <v>-184.22639774999993</v>
      </c>
      <c r="Y59" s="2"/>
      <c r="Z59" s="6">
        <f t="shared" si="19"/>
        <v>-0.23470830559546677</v>
      </c>
    </row>
    <row r="60" spans="1:26" s="24" customFormat="1" hidden="1" outlineLevel="2" x14ac:dyDescent="0.25">
      <c r="A60" s="27"/>
      <c r="B60" s="11" t="str">
        <f>CONCATENATE("          ", "6115", " - ", "P.E.R.S.")</f>
        <v xml:space="preserve">          6115 - P.E.R.S.</v>
      </c>
      <c r="C60" s="11"/>
      <c r="D60" s="7">
        <v>1783.22</v>
      </c>
      <c r="E60" s="2"/>
      <c r="F60" s="6">
        <f t="shared" si="12"/>
        <v>2.8559897113772242E-2</v>
      </c>
      <c r="G60" s="2"/>
      <c r="H60" s="7">
        <v>1268.5379723076899</v>
      </c>
      <c r="I60" s="2"/>
      <c r="J60" s="6">
        <f t="shared" si="13"/>
        <v>9.8196974238691608E-3</v>
      </c>
      <c r="K60" s="2"/>
      <c r="L60" s="7">
        <f t="shared" si="14"/>
        <v>514.68202769231016</v>
      </c>
      <c r="M60" s="2"/>
      <c r="N60" s="6">
        <f t="shared" si="15"/>
        <v>0.40572851497382817</v>
      </c>
      <c r="O60" s="11"/>
      <c r="P60" s="7">
        <v>14958.510000000002</v>
      </c>
      <c r="Q60" s="2"/>
      <c r="R60" s="6">
        <f t="shared" si="16"/>
        <v>8.0160349529650107E-3</v>
      </c>
      <c r="S60" s="2"/>
      <c r="T60" s="7">
        <v>11099.707257692311</v>
      </c>
      <c r="U60" s="2"/>
      <c r="V60" s="6">
        <f t="shared" si="17"/>
        <v>3.7745260575641664E-3</v>
      </c>
      <c r="W60" s="2"/>
      <c r="X60" s="7">
        <f t="shared" si="18"/>
        <v>3858.802742307691</v>
      </c>
      <c r="Y60" s="2"/>
      <c r="Z60" s="6">
        <f t="shared" si="19"/>
        <v>0.34764905530580242</v>
      </c>
    </row>
    <row r="61" spans="1:26" s="24" customFormat="1" hidden="1" outlineLevel="2" x14ac:dyDescent="0.25">
      <c r="A61" s="27"/>
      <c r="B61" s="11" t="str">
        <f>CONCATENATE("          ", "6116", " - ", "EDUCATIONAL BENEFITS")</f>
        <v xml:space="preserve">          6116 - EDUCATIONAL BENEFITS</v>
      </c>
      <c r="C61" s="11"/>
      <c r="D61" s="7"/>
      <c r="E61" s="2"/>
      <c r="F61" s="6">
        <f t="shared" si="12"/>
        <v>0</v>
      </c>
      <c r="G61" s="2"/>
      <c r="H61" s="7">
        <v>0</v>
      </c>
      <c r="I61" s="2"/>
      <c r="J61" s="6">
        <f t="shared" si="13"/>
        <v>0</v>
      </c>
      <c r="K61" s="2"/>
      <c r="L61" s="7">
        <f t="shared" si="14"/>
        <v>0</v>
      </c>
      <c r="M61" s="2"/>
      <c r="N61" s="6">
        <f t="shared" si="15"/>
        <v>0</v>
      </c>
      <c r="O61" s="11"/>
      <c r="P61" s="7"/>
      <c r="Q61" s="2"/>
      <c r="R61" s="6">
        <f t="shared" si="16"/>
        <v>0</v>
      </c>
      <c r="S61" s="2"/>
      <c r="T61" s="7">
        <v>0</v>
      </c>
      <c r="U61" s="2"/>
      <c r="V61" s="6">
        <f t="shared" si="17"/>
        <v>0</v>
      </c>
      <c r="W61" s="2"/>
      <c r="X61" s="7">
        <f t="shared" si="18"/>
        <v>0</v>
      </c>
      <c r="Y61" s="2"/>
      <c r="Z61" s="6">
        <f t="shared" si="19"/>
        <v>0</v>
      </c>
    </row>
    <row r="62" spans="1:26" s="24" customFormat="1" hidden="1" outlineLevel="2" x14ac:dyDescent="0.25">
      <c r="A62" s="27"/>
      <c r="B62" s="11" t="str">
        <f>CONCATENATE("          ", "6117", " - ", "RETIREMENT STAFF HOURLY")</f>
        <v xml:space="preserve">          6117 - RETIREMENT STAFF HOURLY</v>
      </c>
      <c r="C62" s="11"/>
      <c r="D62" s="7">
        <v>298.89999999999998</v>
      </c>
      <c r="E62" s="2"/>
      <c r="F62" s="6">
        <f t="shared" si="12"/>
        <v>4.7871565187169963E-3</v>
      </c>
      <c r="G62" s="2"/>
      <c r="H62" s="7"/>
      <c r="I62" s="2"/>
      <c r="J62" s="6">
        <f t="shared" si="13"/>
        <v>0</v>
      </c>
      <c r="K62" s="2"/>
      <c r="L62" s="7">
        <f t="shared" si="14"/>
        <v>298.89999999999998</v>
      </c>
      <c r="M62" s="2"/>
      <c r="N62" s="6">
        <f t="shared" si="15"/>
        <v>0</v>
      </c>
      <c r="O62" s="11"/>
      <c r="P62" s="7">
        <v>2140.98</v>
      </c>
      <c r="Q62" s="2"/>
      <c r="R62" s="6">
        <f t="shared" si="16"/>
        <v>1.1473181830007819E-3</v>
      </c>
      <c r="S62" s="2"/>
      <c r="T62" s="7"/>
      <c r="U62" s="2"/>
      <c r="V62" s="6">
        <f t="shared" si="17"/>
        <v>0</v>
      </c>
      <c r="W62" s="2"/>
      <c r="X62" s="7">
        <f t="shared" si="18"/>
        <v>2140.98</v>
      </c>
      <c r="Y62" s="2"/>
      <c r="Z62" s="6">
        <f t="shared" si="19"/>
        <v>0</v>
      </c>
    </row>
    <row r="63" spans="1:26" s="24" customFormat="1" hidden="1" outlineLevel="2" x14ac:dyDescent="0.25">
      <c r="A63" s="27"/>
      <c r="B63" s="11" t="str">
        <f>CONCATENATE("          ", "6118", " - ", "VACATION")</f>
        <v xml:space="preserve">          6118 - VACATION</v>
      </c>
      <c r="C63" s="11"/>
      <c r="D63" s="7">
        <v>1386.96</v>
      </c>
      <c r="E63" s="2"/>
      <c r="F63" s="6">
        <f t="shared" si="12"/>
        <v>2.2213431265305207E-2</v>
      </c>
      <c r="G63" s="2"/>
      <c r="H63" s="7">
        <v>1346.2077200000001</v>
      </c>
      <c r="I63" s="2"/>
      <c r="J63" s="6">
        <f t="shared" si="13"/>
        <v>1.0420935572017991E-2</v>
      </c>
      <c r="K63" s="2"/>
      <c r="L63" s="7">
        <f t="shared" si="14"/>
        <v>40.752279999999928</v>
      </c>
      <c r="M63" s="2"/>
      <c r="N63" s="6">
        <f t="shared" si="15"/>
        <v>3.0271910786546317E-2</v>
      </c>
      <c r="O63" s="11"/>
      <c r="P63" s="7">
        <v>10689.66</v>
      </c>
      <c r="Q63" s="2"/>
      <c r="R63" s="6">
        <f t="shared" si="16"/>
        <v>5.7284240338985595E-3</v>
      </c>
      <c r="S63" s="2"/>
      <c r="T63" s="7">
        <v>11779.31755</v>
      </c>
      <c r="U63" s="2"/>
      <c r="V63" s="6">
        <f t="shared" si="17"/>
        <v>4.0056318604245467E-3</v>
      </c>
      <c r="W63" s="2"/>
      <c r="X63" s="7">
        <f t="shared" si="18"/>
        <v>-1089.6575499999999</v>
      </c>
      <c r="Y63" s="2"/>
      <c r="Z63" s="6">
        <f t="shared" si="19"/>
        <v>-9.2506000061098603E-2</v>
      </c>
    </row>
    <row r="64" spans="1:26" s="24" customFormat="1" hidden="1" outlineLevel="2" x14ac:dyDescent="0.25">
      <c r="A64" s="27"/>
      <c r="B64" s="11" t="str">
        <f>CONCATENATE("          ", "6119", " - ", "SICK LEAVE")</f>
        <v xml:space="preserve">          6119 - SICK LEAVE</v>
      </c>
      <c r="C64" s="11"/>
      <c r="D64" s="7">
        <v>1147.56</v>
      </c>
      <c r="E64" s="2"/>
      <c r="F64" s="6">
        <f t="shared" si="12"/>
        <v>1.8379221594576368E-2</v>
      </c>
      <c r="G64" s="2"/>
      <c r="H64" s="7">
        <v>1293.2843857692299</v>
      </c>
      <c r="I64" s="2"/>
      <c r="J64" s="6">
        <f t="shared" si="13"/>
        <v>1.0011258337159145E-2</v>
      </c>
      <c r="K64" s="2"/>
      <c r="L64" s="7">
        <f t="shared" si="14"/>
        <v>-145.72438576922991</v>
      </c>
      <c r="M64" s="2"/>
      <c r="N64" s="6">
        <f t="shared" si="15"/>
        <v>-0.11267775856008252</v>
      </c>
      <c r="O64" s="11"/>
      <c r="P64" s="7">
        <v>8739.4599999999991</v>
      </c>
      <c r="Q64" s="2"/>
      <c r="R64" s="6">
        <f t="shared" si="16"/>
        <v>4.6833419123990007E-3</v>
      </c>
      <c r="S64" s="2"/>
      <c r="T64" s="7">
        <v>11925.725481730771</v>
      </c>
      <c r="U64" s="2"/>
      <c r="V64" s="6">
        <f t="shared" si="17"/>
        <v>4.0554188089018499E-3</v>
      </c>
      <c r="W64" s="2"/>
      <c r="X64" s="7">
        <f t="shared" si="18"/>
        <v>-3186.2654817307721</v>
      </c>
      <c r="Y64" s="2"/>
      <c r="Z64" s="6">
        <f t="shared" si="19"/>
        <v>-0.26717581975300941</v>
      </c>
    </row>
    <row r="65" spans="1:26" s="24" customFormat="1" hidden="1" outlineLevel="2" x14ac:dyDescent="0.25">
      <c r="A65" s="27"/>
      <c r="B65" s="11" t="str">
        <f>CONCATENATE("          ", "6156", " - ", "EMPLOYEE MEALS")</f>
        <v xml:space="preserve">          6156 - EMPLOYEE MEALS</v>
      </c>
      <c r="C65" s="11"/>
      <c r="D65" s="7">
        <v>337.46</v>
      </c>
      <c r="E65" s="2"/>
      <c r="F65" s="6">
        <f t="shared" si="12"/>
        <v>5.4047301398669713E-3</v>
      </c>
      <c r="G65" s="2"/>
      <c r="H65" s="7">
        <v>750</v>
      </c>
      <c r="I65" s="2"/>
      <c r="J65" s="6">
        <f t="shared" si="13"/>
        <v>5.8057174705650125E-3</v>
      </c>
      <c r="K65" s="2"/>
      <c r="L65" s="7">
        <f t="shared" si="14"/>
        <v>-412.54</v>
      </c>
      <c r="M65" s="2"/>
      <c r="N65" s="6">
        <f t="shared" si="15"/>
        <v>-0.55005333333333339</v>
      </c>
      <c r="O65" s="11"/>
      <c r="P65" s="7">
        <v>3375.84</v>
      </c>
      <c r="Q65" s="2"/>
      <c r="R65" s="6">
        <f t="shared" si="16"/>
        <v>1.8090606240606449E-3</v>
      </c>
      <c r="S65" s="2"/>
      <c r="T65" s="7">
        <v>6000</v>
      </c>
      <c r="U65" s="2"/>
      <c r="V65" s="6">
        <f t="shared" si="17"/>
        <v>2.0403381656475743E-3</v>
      </c>
      <c r="W65" s="2"/>
      <c r="X65" s="7">
        <f t="shared" si="18"/>
        <v>-2624.16</v>
      </c>
      <c r="Y65" s="2"/>
      <c r="Z65" s="6">
        <f t="shared" si="19"/>
        <v>-0.43735999999999997</v>
      </c>
    </row>
    <row r="66" spans="1:26" s="28" customFormat="1" outlineLevel="1" collapsed="1" x14ac:dyDescent="0.25">
      <c r="A66" s="29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23630.000000000004</v>
      </c>
      <c r="E66" s="1"/>
      <c r="F66" s="5">
        <f t="shared" ref="F66:F76" si="20">IF(D$12=0,0,D66/D$12)</f>
        <v>0.37845603391529831</v>
      </c>
      <c r="G66" s="1"/>
      <c r="H66" s="1">
        <f>SUM(OSRRefH22_1x_0)</f>
        <v>30080.124643692299</v>
      </c>
      <c r="I66" s="1"/>
      <c r="J66" s="5">
        <f t="shared" ref="J66:J76" si="21">IF(H$12=0,0,H66/H$12)</f>
        <v>0.23284894021421007</v>
      </c>
      <c r="K66" s="1"/>
      <c r="L66" s="1">
        <f t="shared" ref="L66:L76" si="22">+D66-H66</f>
        <v>-6450.1246436922956</v>
      </c>
      <c r="M66" s="1"/>
      <c r="N66" s="5">
        <f t="shared" ref="N66:N76" si="23">IF(H66=0,0,L66/H66)</f>
        <v>-0.21443144668101849</v>
      </c>
      <c r="O66" s="14"/>
      <c r="P66" s="1">
        <f>SUM(OSRRefP22_1x_0)</f>
        <v>227398.37</v>
      </c>
      <c r="Q66" s="1"/>
      <c r="R66" s="5">
        <f t="shared" ref="R66:R76" si="24">IF(P$12=0,0,P66/P$12)</f>
        <v>0.12185928158401269</v>
      </c>
      <c r="S66" s="1"/>
      <c r="T66" s="1">
        <f>SUM(OSRRefT22_1x_0)</f>
        <v>283517.32750730769</v>
      </c>
      <c r="U66" s="1"/>
      <c r="V66" s="5">
        <f t="shared" ref="V66:V76" si="25">IF(T$12=0,0,T66/T$12)</f>
        <v>9.6411870655927129E-2</v>
      </c>
      <c r="W66" s="1"/>
      <c r="X66" s="1">
        <f t="shared" ref="X66:X76" si="26">+P66-T66</f>
        <v>-56118.957507307699</v>
      </c>
      <c r="Y66" s="1"/>
      <c r="Z66" s="5">
        <f t="shared" ref="Z66:Z76" si="27">IF(T66=0,0,X66/T66)</f>
        <v>-0.19793836941363391</v>
      </c>
    </row>
    <row r="67" spans="1:26" s="24" customFormat="1" hidden="1" outlineLevel="2" x14ac:dyDescent="0.25">
      <c r="A67" s="27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>
        <v>-311.32</v>
      </c>
      <c r="Q67" s="2"/>
      <c r="R67" s="6">
        <f t="shared" si="24"/>
        <v>-1.6683158961401011E-4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-311.32</v>
      </c>
      <c r="Y67" s="2"/>
      <c r="Z67" s="6">
        <f t="shared" si="27"/>
        <v>0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7">
        <v>16765.57</v>
      </c>
      <c r="E68" s="2"/>
      <c r="F68" s="6">
        <f t="shared" si="20"/>
        <v>0.26851591741554409</v>
      </c>
      <c r="G68" s="2"/>
      <c r="H68" s="7">
        <v>13107.2520636923</v>
      </c>
      <c r="I68" s="2"/>
      <c r="J68" s="6">
        <f t="shared" si="21"/>
        <v>0.10146266972970359</v>
      </c>
      <c r="K68" s="2"/>
      <c r="L68" s="7">
        <f t="shared" si="22"/>
        <v>3658.3179363076997</v>
      </c>
      <c r="M68" s="2"/>
      <c r="N68" s="6">
        <f t="shared" si="23"/>
        <v>0.27910639991744807</v>
      </c>
      <c r="O68" s="11"/>
      <c r="P68" s="7">
        <v>138126.24</v>
      </c>
      <c r="Q68" s="2"/>
      <c r="R68" s="6">
        <f t="shared" si="24"/>
        <v>7.4019723071457891E-2</v>
      </c>
      <c r="S68" s="2"/>
      <c r="T68" s="7">
        <v>114688.45555730769</v>
      </c>
      <c r="U68" s="2"/>
      <c r="V68" s="6">
        <f t="shared" si="25"/>
        <v>3.900053883879176E-2</v>
      </c>
      <c r="W68" s="2"/>
      <c r="X68" s="7">
        <f t="shared" si="26"/>
        <v>23437.784442692297</v>
      </c>
      <c r="Y68" s="2"/>
      <c r="Z68" s="6">
        <f t="shared" si="27"/>
        <v>0.20436045048126811</v>
      </c>
    </row>
    <row r="69" spans="1:26" s="24" customFormat="1" hidden="1" outlineLevel="2" x14ac:dyDescent="0.25">
      <c r="A69" s="27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7"/>
      <c r="B70" s="11" t="str">
        <f>CONCATENATE("          ", "6004", " - ", "STAFF HOURLY")</f>
        <v xml:space="preserve">          6004 - STAFF HOURLY</v>
      </c>
      <c r="C70" s="11"/>
      <c r="D70" s="7">
        <v>6038.31</v>
      </c>
      <c r="E70" s="2"/>
      <c r="F70" s="6">
        <f t="shared" si="20"/>
        <v>9.6709050112191483E-2</v>
      </c>
      <c r="G70" s="2"/>
      <c r="H70" s="7">
        <v>5285.7500799999998</v>
      </c>
      <c r="I70" s="2"/>
      <c r="J70" s="6">
        <f t="shared" si="21"/>
        <v>4.0916762112661882E-2</v>
      </c>
      <c r="K70" s="2"/>
      <c r="L70" s="7">
        <f t="shared" si="22"/>
        <v>752.5599200000006</v>
      </c>
      <c r="M70" s="2"/>
      <c r="N70" s="6">
        <f t="shared" si="23"/>
        <v>0.14237523693136861</v>
      </c>
      <c r="O70" s="11"/>
      <c r="P70" s="7">
        <v>53932.72</v>
      </c>
      <c r="Q70" s="2"/>
      <c r="R70" s="6">
        <f t="shared" si="24"/>
        <v>2.8901713381110486E-2</v>
      </c>
      <c r="S70" s="2"/>
      <c r="T70" s="7">
        <v>46250.313200000004</v>
      </c>
      <c r="U70" s="2"/>
      <c r="V70" s="6">
        <f t="shared" si="25"/>
        <v>1.5727713199185634E-2</v>
      </c>
      <c r="W70" s="2"/>
      <c r="X70" s="7">
        <f t="shared" si="26"/>
        <v>7682.406799999997</v>
      </c>
      <c r="Y70" s="2"/>
      <c r="Z70" s="6">
        <f t="shared" si="27"/>
        <v>0.16610496812808603</v>
      </c>
    </row>
    <row r="71" spans="1:26" s="24" customFormat="1" hidden="1" outlineLevel="2" x14ac:dyDescent="0.25">
      <c r="A71" s="27"/>
      <c r="B71" s="11" t="str">
        <f>CONCATENATE("          ", "6005", " - ", "TEMPORARY WAGES-HOURLY")</f>
        <v xml:space="preserve">          6005 - TEMPORARY WAGES-HOURLY</v>
      </c>
      <c r="C71" s="11"/>
      <c r="D71" s="7"/>
      <c r="E71" s="2"/>
      <c r="F71" s="6">
        <f t="shared" si="20"/>
        <v>0</v>
      </c>
      <c r="G71" s="2"/>
      <c r="H71" s="7">
        <v>3082.56</v>
      </c>
      <c r="I71" s="2"/>
      <c r="J71" s="6">
        <f t="shared" si="21"/>
        <v>2.3861963261419847E-2</v>
      </c>
      <c r="K71" s="2"/>
      <c r="L71" s="7">
        <f t="shared" si="22"/>
        <v>-3082.56</v>
      </c>
      <c r="M71" s="2"/>
      <c r="N71" s="6">
        <f t="shared" si="23"/>
        <v>-1</v>
      </c>
      <c r="O71" s="11"/>
      <c r="P71" s="7">
        <v>12838</v>
      </c>
      <c r="Q71" s="2"/>
      <c r="R71" s="6">
        <f t="shared" si="24"/>
        <v>6.8796863274594054E-3</v>
      </c>
      <c r="S71" s="2"/>
      <c r="T71" s="7">
        <v>28951.439999999999</v>
      </c>
      <c r="U71" s="2"/>
      <c r="V71" s="6">
        <f t="shared" si="25"/>
        <v>9.8451213304093024E-3</v>
      </c>
      <c r="W71" s="2"/>
      <c r="X71" s="7">
        <f t="shared" si="26"/>
        <v>-16113.439999999999</v>
      </c>
      <c r="Y71" s="2"/>
      <c r="Z71" s="6">
        <f t="shared" si="27"/>
        <v>-0.55656782529642734</v>
      </c>
    </row>
    <row r="72" spans="1:26" s="24" customFormat="1" hidden="1" outlineLevel="2" x14ac:dyDescent="0.25">
      <c r="A72" s="27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>
        <v>502.29</v>
      </c>
      <c r="Q72" s="2"/>
      <c r="R72" s="6">
        <f t="shared" si="24"/>
        <v>2.6916946918675687E-4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502.29</v>
      </c>
      <c r="Y72" s="2"/>
      <c r="Z72" s="6">
        <f t="shared" si="27"/>
        <v>0</v>
      </c>
    </row>
    <row r="73" spans="1:26" s="24" customFormat="1" hidden="1" outlineLevel="2" x14ac:dyDescent="0.25">
      <c r="A73" s="27"/>
      <c r="B73" s="11" t="str">
        <f>CONCATENATE("          ", "6007", " - ", "STUDENT HOURLY")</f>
        <v xml:space="preserve">          6007 - STUDENT HOURLY</v>
      </c>
      <c r="C73" s="11"/>
      <c r="D73" s="7">
        <v>541.22</v>
      </c>
      <c r="E73" s="2"/>
      <c r="F73" s="6">
        <f t="shared" si="20"/>
        <v>8.6681326566076054E-3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541.22</v>
      </c>
      <c r="M73" s="2"/>
      <c r="N73" s="6">
        <f t="shared" si="23"/>
        <v>0</v>
      </c>
      <c r="O73" s="11"/>
      <c r="P73" s="7">
        <v>21343.18</v>
      </c>
      <c r="Q73" s="2"/>
      <c r="R73" s="6">
        <f t="shared" si="24"/>
        <v>1.1437481198824196E-2</v>
      </c>
      <c r="S73" s="2"/>
      <c r="T73" s="7">
        <v>28540.862499999999</v>
      </c>
      <c r="U73" s="2"/>
      <c r="V73" s="6">
        <f t="shared" si="25"/>
        <v>9.7055018398749405E-3</v>
      </c>
      <c r="W73" s="2"/>
      <c r="X73" s="7">
        <f t="shared" si="26"/>
        <v>-7197.682499999999</v>
      </c>
      <c r="Y73" s="2"/>
      <c r="Z73" s="6">
        <f t="shared" si="27"/>
        <v>-0.25218868210447387</v>
      </c>
    </row>
    <row r="74" spans="1:26" s="24" customFormat="1" hidden="1" outlineLevel="2" x14ac:dyDescent="0.25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7">
        <v>284.89999999999998</v>
      </c>
      <c r="E74" s="2"/>
      <c r="F74" s="6">
        <f t="shared" si="20"/>
        <v>4.5629337309550768E-3</v>
      </c>
      <c r="G74" s="2"/>
      <c r="H74" s="7">
        <v>8604.5625</v>
      </c>
      <c r="I74" s="2"/>
      <c r="J74" s="6">
        <f t="shared" si="21"/>
        <v>6.6607545110424743E-2</v>
      </c>
      <c r="K74" s="2"/>
      <c r="L74" s="7">
        <f t="shared" si="22"/>
        <v>-8319.6625000000004</v>
      </c>
      <c r="M74" s="2"/>
      <c r="N74" s="6">
        <f t="shared" si="23"/>
        <v>-0.96688965882925482</v>
      </c>
      <c r="O74" s="11"/>
      <c r="P74" s="7">
        <v>967.26</v>
      </c>
      <c r="Q74" s="2"/>
      <c r="R74" s="6">
        <f t="shared" si="24"/>
        <v>5.1833972558797202E-4</v>
      </c>
      <c r="S74" s="2"/>
      <c r="T74" s="7">
        <v>65086.256249999999</v>
      </c>
      <c r="U74" s="2"/>
      <c r="V74" s="6">
        <f t="shared" si="25"/>
        <v>2.2132995447665494E-2</v>
      </c>
      <c r="W74" s="2"/>
      <c r="X74" s="7">
        <f t="shared" si="26"/>
        <v>-64118.996249999997</v>
      </c>
      <c r="Y74" s="2"/>
      <c r="Z74" s="6">
        <f t="shared" si="27"/>
        <v>-0.98513879802389148</v>
      </c>
    </row>
    <row r="75" spans="1:26" s="24" customFormat="1" hidden="1" outlineLevel="2" x14ac:dyDescent="0.25">
      <c r="A75" s="27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4" customFormat="1" hidden="1" outlineLevel="2" x14ac:dyDescent="0.25">
      <c r="A76" s="27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8" customFormat="1" outlineLevel="1" collapsed="1" x14ac:dyDescent="0.25">
      <c r="A77" s="29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0</v>
      </c>
      <c r="E77" s="1"/>
      <c r="F77" s="5">
        <f t="shared" ref="F77:F81" si="28">IF(D$12=0,0,D77/D$12)</f>
        <v>0</v>
      </c>
      <c r="G77" s="1"/>
      <c r="H77" s="1">
        <f>SUM(OSRRefH22_2x_0)</f>
        <v>100</v>
      </c>
      <c r="I77" s="1"/>
      <c r="J77" s="5">
        <f t="shared" ref="J77:J81" si="29">IF(H$12=0,0,H77/H$12)</f>
        <v>7.7409566274200161E-4</v>
      </c>
      <c r="K77" s="1"/>
      <c r="L77" s="1">
        <f t="shared" ref="L77:L81" si="30">+D77-H77</f>
        <v>-100</v>
      </c>
      <c r="M77" s="1"/>
      <c r="N77" s="5">
        <f t="shared" ref="N77:N81" si="31">IF(H77=0,0,L77/H77)</f>
        <v>-1</v>
      </c>
      <c r="O77" s="14"/>
      <c r="P77" s="1">
        <f>SUM(OSRRefP22_2x_0)</f>
        <v>1999.55</v>
      </c>
      <c r="Q77" s="1"/>
      <c r="R77" s="5">
        <f t="shared" ref="R77:R81" si="32">IF(P$12=0,0,P77/P$12)</f>
        <v>1.0715280258662917E-3</v>
      </c>
      <c r="S77" s="1"/>
      <c r="T77" s="1">
        <f>SUM(OSRRefT22_2x_0)</f>
        <v>2200</v>
      </c>
      <c r="U77" s="1"/>
      <c r="V77" s="5">
        <f t="shared" ref="V77:V81" si="33">IF(T$12=0,0,T77/T$12)</f>
        <v>7.4812399407077725E-4</v>
      </c>
      <c r="W77" s="1"/>
      <c r="X77" s="1">
        <f t="shared" ref="X77:X81" si="34">+P77-T77</f>
        <v>-200.45000000000005</v>
      </c>
      <c r="Y77" s="1"/>
      <c r="Z77" s="5">
        <f t="shared" ref="Z77:Z81" si="35">IF(T77=0,0,X77/T77)</f>
        <v>-9.1113636363636383E-2</v>
      </c>
    </row>
    <row r="78" spans="1:26" s="24" customFormat="1" hidden="1" outlineLevel="2" x14ac:dyDescent="0.25">
      <c r="A78" s="27"/>
      <c r="B78" s="11" t="str">
        <f>CONCATENATE("          ", "6362", " - ", "ADVERTISING EXPENSE")</f>
        <v xml:space="preserve">          6362 - ADVERTISING EXPENSE</v>
      </c>
      <c r="C78" s="11"/>
      <c r="D78" s="7"/>
      <c r="E78" s="2"/>
      <c r="F78" s="6">
        <f t="shared" si="28"/>
        <v>0</v>
      </c>
      <c r="G78" s="2"/>
      <c r="H78" s="7">
        <v>100</v>
      </c>
      <c r="I78" s="2"/>
      <c r="J78" s="6">
        <f t="shared" si="29"/>
        <v>7.7409566274200161E-4</v>
      </c>
      <c r="K78" s="2"/>
      <c r="L78" s="7">
        <f t="shared" si="30"/>
        <v>-100</v>
      </c>
      <c r="M78" s="2"/>
      <c r="N78" s="6">
        <f t="shared" si="31"/>
        <v>-1</v>
      </c>
      <c r="O78" s="11"/>
      <c r="P78" s="7">
        <v>1999.55</v>
      </c>
      <c r="Q78" s="2"/>
      <c r="R78" s="6">
        <f t="shared" si="32"/>
        <v>1.0715280258662917E-3</v>
      </c>
      <c r="S78" s="2"/>
      <c r="T78" s="7">
        <v>2200</v>
      </c>
      <c r="U78" s="2"/>
      <c r="V78" s="6">
        <f t="shared" si="33"/>
        <v>7.4812399407077725E-4</v>
      </c>
      <c r="W78" s="2"/>
      <c r="X78" s="7">
        <f t="shared" si="34"/>
        <v>-200.45000000000005</v>
      </c>
      <c r="Y78" s="2"/>
      <c r="Z78" s="6">
        <f t="shared" si="35"/>
        <v>-9.1113636363636383E-2</v>
      </c>
    </row>
    <row r="79" spans="1:26" s="28" customFormat="1" outlineLevel="1" collapsed="1" x14ac:dyDescent="0.25">
      <c r="A79" s="29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42.86</v>
      </c>
      <c r="E79" s="1"/>
      <c r="F79" s="5">
        <f t="shared" si="28"/>
        <v>6.8644204881970728E-4</v>
      </c>
      <c r="G79" s="1"/>
      <c r="H79" s="1">
        <f>SUM(OSRRefH22_3x_0)</f>
        <v>1200</v>
      </c>
      <c r="I79" s="1"/>
      <c r="J79" s="5">
        <f t="shared" si="29"/>
        <v>9.2891479529040206E-3</v>
      </c>
      <c r="K79" s="1"/>
      <c r="L79" s="1">
        <f t="shared" si="30"/>
        <v>-1157.1400000000001</v>
      </c>
      <c r="M79" s="1"/>
      <c r="N79" s="5">
        <f t="shared" si="31"/>
        <v>-0.96428333333333338</v>
      </c>
      <c r="O79" s="14"/>
      <c r="P79" s="1">
        <f>SUM(OSRRefP22_3x_0)</f>
        <v>0</v>
      </c>
      <c r="Q79" s="1"/>
      <c r="R79" s="5">
        <f t="shared" si="32"/>
        <v>0</v>
      </c>
      <c r="S79" s="1"/>
      <c r="T79" s="1">
        <f>SUM(OSRRefT22_3x_0)</f>
        <v>14700</v>
      </c>
      <c r="U79" s="1"/>
      <c r="V79" s="5">
        <f t="shared" si="33"/>
        <v>4.998828505836557E-3</v>
      </c>
      <c r="W79" s="1"/>
      <c r="X79" s="1">
        <f t="shared" si="34"/>
        <v>-14700</v>
      </c>
      <c r="Y79" s="1"/>
      <c r="Z79" s="5">
        <f t="shared" si="35"/>
        <v>-1</v>
      </c>
    </row>
    <row r="80" spans="1:26" s="24" customFormat="1" hidden="1" outlineLevel="2" x14ac:dyDescent="0.25">
      <c r="A80" s="27"/>
      <c r="B80" s="11" t="str">
        <f>CONCATENATE("          ", "6382", " - ", "DISCOUNTS/MARK DOWNS")</f>
        <v xml:space="preserve">          6382 - DISCOUNTS/MARK DOWNS</v>
      </c>
      <c r="C80" s="11"/>
      <c r="D80" s="7"/>
      <c r="E80" s="2"/>
      <c r="F80" s="6">
        <f t="shared" si="28"/>
        <v>0</v>
      </c>
      <c r="G80" s="2"/>
      <c r="H80" s="7">
        <v>1200</v>
      </c>
      <c r="I80" s="2"/>
      <c r="J80" s="6">
        <f t="shared" si="29"/>
        <v>9.2891479529040206E-3</v>
      </c>
      <c r="K80" s="2"/>
      <c r="L80" s="7">
        <f t="shared" si="30"/>
        <v>-1200</v>
      </c>
      <c r="M80" s="2"/>
      <c r="N80" s="6">
        <f t="shared" si="31"/>
        <v>-1</v>
      </c>
      <c r="O80" s="11"/>
      <c r="P80" s="7"/>
      <c r="Q80" s="2"/>
      <c r="R80" s="6">
        <f t="shared" si="32"/>
        <v>0</v>
      </c>
      <c r="S80" s="2"/>
      <c r="T80" s="7">
        <v>14700</v>
      </c>
      <c r="U80" s="2"/>
      <c r="V80" s="6">
        <f t="shared" si="33"/>
        <v>4.998828505836557E-3</v>
      </c>
      <c r="W80" s="2"/>
      <c r="X80" s="7">
        <f t="shared" si="34"/>
        <v>-14700</v>
      </c>
      <c r="Y80" s="2"/>
      <c r="Z80" s="6">
        <f t="shared" si="35"/>
        <v>-1</v>
      </c>
    </row>
    <row r="81" spans="1:26" s="24" customFormat="1" hidden="1" outlineLevel="2" x14ac:dyDescent="0.25">
      <c r="A81" s="27"/>
      <c r="B81" s="11" t="str">
        <f>CONCATENATE("          ", "9175", " - ", "EARNED DISCOUNTS")</f>
        <v xml:space="preserve">          9175 - EARNED DISCOUNTS</v>
      </c>
      <c r="C81" s="11"/>
      <c r="D81" s="7">
        <v>42.86</v>
      </c>
      <c r="E81" s="2"/>
      <c r="F81" s="6">
        <f t="shared" si="28"/>
        <v>6.8644204881970728E-4</v>
      </c>
      <c r="G81" s="2"/>
      <c r="H81" s="7"/>
      <c r="I81" s="2"/>
      <c r="J81" s="6">
        <f t="shared" si="29"/>
        <v>0</v>
      </c>
      <c r="K81" s="2"/>
      <c r="L81" s="7">
        <f t="shared" si="30"/>
        <v>42.86</v>
      </c>
      <c r="M81" s="2"/>
      <c r="N81" s="6">
        <f t="shared" si="31"/>
        <v>0</v>
      </c>
      <c r="O81" s="11"/>
      <c r="P81" s="7">
        <v>0</v>
      </c>
      <c r="Q81" s="2"/>
      <c r="R81" s="6">
        <f t="shared" si="32"/>
        <v>0</v>
      </c>
      <c r="S81" s="2"/>
      <c r="T81" s="7"/>
      <c r="U81" s="2"/>
      <c r="V81" s="6">
        <f t="shared" si="33"/>
        <v>0</v>
      </c>
      <c r="W81" s="2"/>
      <c r="X81" s="7">
        <f t="shared" si="34"/>
        <v>0</v>
      </c>
      <c r="Y81" s="2"/>
      <c r="Z81" s="6">
        <f t="shared" si="35"/>
        <v>0</v>
      </c>
    </row>
    <row r="82" spans="1:26" s="28" customFormat="1" outlineLevel="1" collapsed="1" x14ac:dyDescent="0.25">
      <c r="A82" s="29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ref="F82:F88" si="36">IF(D$12=0,0,D82/D$12)</f>
        <v>0</v>
      </c>
      <c r="G82" s="1"/>
      <c r="H82" s="1">
        <f>SUM(OSRRefH22_4x_0)</f>
        <v>75</v>
      </c>
      <c r="I82" s="1"/>
      <c r="J82" s="5">
        <f t="shared" ref="J82:J88" si="37">IF(H$12=0,0,H82/H$12)</f>
        <v>5.8057174705650129E-4</v>
      </c>
      <c r="K82" s="1"/>
      <c r="L82" s="1">
        <f t="shared" ref="L82:L88" si="38">+D82-H82</f>
        <v>-75</v>
      </c>
      <c r="M82" s="1"/>
      <c r="N82" s="5">
        <f t="shared" ref="N82:N88" si="39">IF(H82=0,0,L82/H82)</f>
        <v>-1</v>
      </c>
      <c r="O82" s="14"/>
      <c r="P82" s="1">
        <f>SUM(OSRRefP22_4x_0)</f>
        <v>107.7</v>
      </c>
      <c r="Q82" s="1"/>
      <c r="R82" s="5">
        <f t="shared" ref="R82:R88" si="40">IF(P$12=0,0,P82/P$12)</f>
        <v>5.771477001615345E-5</v>
      </c>
      <c r="S82" s="1"/>
      <c r="T82" s="1">
        <f>SUM(OSRRefT22_4x_0)</f>
        <v>600</v>
      </c>
      <c r="U82" s="1"/>
      <c r="V82" s="5">
        <f t="shared" ref="V82:V88" si="41">IF(T$12=0,0,T82/T$12)</f>
        <v>2.0403381656475744E-4</v>
      </c>
      <c r="W82" s="1"/>
      <c r="X82" s="1">
        <f t="shared" ref="X82:X88" si="42">+P82-T82</f>
        <v>-492.3</v>
      </c>
      <c r="Y82" s="1"/>
      <c r="Z82" s="5">
        <f t="shared" ref="Z82:Z88" si="43">IF(T82=0,0,X82/T82)</f>
        <v>-0.82050000000000001</v>
      </c>
    </row>
    <row r="83" spans="1:26" s="24" customFormat="1" hidden="1" outlineLevel="2" x14ac:dyDescent="0.25">
      <c r="A83" s="27"/>
      <c r="B83" s="11" t="str">
        <f>CONCATENATE("          ", "6277", " - ", "EMPLOYEE APPRECIATION")</f>
        <v xml:space="preserve">          6277 - EMPLOYEE APPRECIATION</v>
      </c>
      <c r="C83" s="11"/>
      <c r="D83" s="7"/>
      <c r="E83" s="2"/>
      <c r="F83" s="6">
        <f t="shared" si="36"/>
        <v>0</v>
      </c>
      <c r="G83" s="2"/>
      <c r="H83" s="7">
        <v>75</v>
      </c>
      <c r="I83" s="2"/>
      <c r="J83" s="6">
        <f t="shared" si="37"/>
        <v>5.8057174705650129E-4</v>
      </c>
      <c r="K83" s="2"/>
      <c r="L83" s="7">
        <f t="shared" si="38"/>
        <v>-75</v>
      </c>
      <c r="M83" s="2"/>
      <c r="N83" s="6">
        <f t="shared" si="39"/>
        <v>-1</v>
      </c>
      <c r="O83" s="11"/>
      <c r="P83" s="7">
        <v>107.7</v>
      </c>
      <c r="Q83" s="2"/>
      <c r="R83" s="6">
        <f t="shared" si="40"/>
        <v>5.771477001615345E-5</v>
      </c>
      <c r="S83" s="2"/>
      <c r="T83" s="7">
        <v>600</v>
      </c>
      <c r="U83" s="2"/>
      <c r="V83" s="6">
        <f t="shared" si="41"/>
        <v>2.0403381656475744E-4</v>
      </c>
      <c r="W83" s="2"/>
      <c r="X83" s="7">
        <f t="shared" si="42"/>
        <v>-492.3</v>
      </c>
      <c r="Y83" s="2"/>
      <c r="Z83" s="6">
        <f t="shared" si="43"/>
        <v>-0.82050000000000001</v>
      </c>
    </row>
    <row r="84" spans="1:26" s="28" customFormat="1" outlineLevel="1" collapsed="1" x14ac:dyDescent="0.25">
      <c r="A84" s="29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6"/>
        <v>1.4616122579394887E-3</v>
      </c>
      <c r="G84" s="1"/>
      <c r="H84" s="1">
        <f>SUM(OSRRefH22_5x_0)</f>
        <v>100</v>
      </c>
      <c r="I84" s="1"/>
      <c r="J84" s="5">
        <f t="shared" si="37"/>
        <v>7.7409566274200161E-4</v>
      </c>
      <c r="K84" s="1"/>
      <c r="L84" s="1">
        <f t="shared" si="38"/>
        <v>-8.7399999999999949</v>
      </c>
      <c r="M84" s="1"/>
      <c r="N84" s="5">
        <f t="shared" si="39"/>
        <v>-8.739999999999995E-2</v>
      </c>
      <c r="O84" s="14"/>
      <c r="P84" s="1">
        <f>SUM(OSRRefP22_5x_0)</f>
        <v>730.08</v>
      </c>
      <c r="Q84" s="1"/>
      <c r="R84" s="5">
        <f t="shared" si="40"/>
        <v>3.9123861925156276E-4</v>
      </c>
      <c r="S84" s="1"/>
      <c r="T84" s="1">
        <f>SUM(OSRRefT22_5x_0)</f>
        <v>800</v>
      </c>
      <c r="U84" s="1"/>
      <c r="V84" s="5">
        <f t="shared" si="41"/>
        <v>2.7204508875300993E-4</v>
      </c>
      <c r="W84" s="1"/>
      <c r="X84" s="1">
        <f t="shared" si="42"/>
        <v>-69.919999999999959</v>
      </c>
      <c r="Y84" s="1"/>
      <c r="Z84" s="5">
        <f t="shared" si="43"/>
        <v>-8.739999999999995E-2</v>
      </c>
    </row>
    <row r="85" spans="1:26" s="24" customFormat="1" hidden="1" outlineLevel="2" x14ac:dyDescent="0.25">
      <c r="A85" s="27"/>
      <c r="B85" s="11" t="str">
        <f>CONCATENATE("          ", "6351", " - ", "EQUIPMENT RENTAL")</f>
        <v xml:space="preserve">          6351 - EQUIPMENT RENTAL</v>
      </c>
      <c r="C85" s="11"/>
      <c r="D85" s="7">
        <v>91.26</v>
      </c>
      <c r="E85" s="2"/>
      <c r="F85" s="6">
        <f t="shared" si="36"/>
        <v>1.4616122579394887E-3</v>
      </c>
      <c r="G85" s="2"/>
      <c r="H85" s="7">
        <v>100</v>
      </c>
      <c r="I85" s="2"/>
      <c r="J85" s="6">
        <f t="shared" si="37"/>
        <v>7.7409566274200161E-4</v>
      </c>
      <c r="K85" s="2"/>
      <c r="L85" s="7">
        <f t="shared" si="38"/>
        <v>-8.7399999999999949</v>
      </c>
      <c r="M85" s="2"/>
      <c r="N85" s="6">
        <f t="shared" si="39"/>
        <v>-8.739999999999995E-2</v>
      </c>
      <c r="O85" s="11"/>
      <c r="P85" s="7">
        <v>730.08</v>
      </c>
      <c r="Q85" s="2"/>
      <c r="R85" s="6">
        <f t="shared" si="40"/>
        <v>3.9123861925156276E-4</v>
      </c>
      <c r="S85" s="2"/>
      <c r="T85" s="7">
        <v>800</v>
      </c>
      <c r="U85" s="2"/>
      <c r="V85" s="6">
        <f t="shared" si="41"/>
        <v>2.7204508875300993E-4</v>
      </c>
      <c r="W85" s="2"/>
      <c r="X85" s="7">
        <f t="shared" si="42"/>
        <v>-69.919999999999959</v>
      </c>
      <c r="Y85" s="2"/>
      <c r="Z85" s="6">
        <f t="shared" si="43"/>
        <v>-8.739999999999995E-2</v>
      </c>
    </row>
    <row r="86" spans="1:26" s="28" customFormat="1" outlineLevel="1" collapsed="1" x14ac:dyDescent="0.25">
      <c r="A86" s="29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1294.28</v>
      </c>
      <c r="E86" s="1"/>
      <c r="F86" s="5">
        <f t="shared" si="36"/>
        <v>2.0729076410321293E-2</v>
      </c>
      <c r="G86" s="1"/>
      <c r="H86" s="1">
        <f>SUM(OSRRefH22_6x_0)</f>
        <v>2200</v>
      </c>
      <c r="I86" s="1"/>
      <c r="J86" s="5">
        <f t="shared" si="37"/>
        <v>1.7030104580324036E-2</v>
      </c>
      <c r="K86" s="1"/>
      <c r="L86" s="1">
        <f t="shared" si="38"/>
        <v>-905.72</v>
      </c>
      <c r="M86" s="1"/>
      <c r="N86" s="5">
        <f t="shared" si="39"/>
        <v>-0.41169090909090911</v>
      </c>
      <c r="O86" s="14"/>
      <c r="P86" s="1">
        <f>SUM(OSRRefP22_6x_0)</f>
        <v>10464.33</v>
      </c>
      <c r="Q86" s="1"/>
      <c r="R86" s="5">
        <f t="shared" si="40"/>
        <v>5.6076731599176881E-3</v>
      </c>
      <c r="S86" s="1"/>
      <c r="T86" s="1">
        <f>SUM(OSRRefT22_6x_0)</f>
        <v>15700</v>
      </c>
      <c r="U86" s="1"/>
      <c r="V86" s="5">
        <f t="shared" si="41"/>
        <v>5.33888486677782E-3</v>
      </c>
      <c r="W86" s="1"/>
      <c r="X86" s="1">
        <f t="shared" si="42"/>
        <v>-5235.67</v>
      </c>
      <c r="Y86" s="1"/>
      <c r="Z86" s="5">
        <f t="shared" si="43"/>
        <v>-0.33348216560509553</v>
      </c>
    </row>
    <row r="87" spans="1:26" s="24" customFormat="1" hidden="1" outlineLevel="2" x14ac:dyDescent="0.25">
      <c r="A87" s="27"/>
      <c r="B87" s="11" t="str">
        <f>CONCATENATE("          ", "6305", " - ", "FREIGHT OUT")</f>
        <v xml:space="preserve">          6305 - FREIGHT OUT</v>
      </c>
      <c r="C87" s="11"/>
      <c r="D87" s="7">
        <v>1294.28</v>
      </c>
      <c r="E87" s="2"/>
      <c r="F87" s="6">
        <f t="shared" si="36"/>
        <v>2.0729076410321293E-2</v>
      </c>
      <c r="G87" s="2"/>
      <c r="H87" s="7">
        <v>2200</v>
      </c>
      <c r="I87" s="2"/>
      <c r="J87" s="6">
        <f t="shared" si="37"/>
        <v>1.7030104580324036E-2</v>
      </c>
      <c r="K87" s="2"/>
      <c r="L87" s="7">
        <f t="shared" si="38"/>
        <v>-905.72</v>
      </c>
      <c r="M87" s="2"/>
      <c r="N87" s="6">
        <f t="shared" si="39"/>
        <v>-0.41169090909090911</v>
      </c>
      <c r="O87" s="11"/>
      <c r="P87" s="7">
        <v>10463.83</v>
      </c>
      <c r="Q87" s="2"/>
      <c r="R87" s="6">
        <f t="shared" si="40"/>
        <v>5.6074052176242053E-3</v>
      </c>
      <c r="S87" s="2"/>
      <c r="T87" s="7">
        <v>15700</v>
      </c>
      <c r="U87" s="2"/>
      <c r="V87" s="6">
        <f t="shared" si="41"/>
        <v>5.33888486677782E-3</v>
      </c>
      <c r="W87" s="2"/>
      <c r="X87" s="7">
        <f t="shared" si="42"/>
        <v>-5236.17</v>
      </c>
      <c r="Y87" s="2"/>
      <c r="Z87" s="6">
        <f t="shared" si="43"/>
        <v>-0.3335140127388535</v>
      </c>
    </row>
    <row r="88" spans="1:26" s="24" customFormat="1" hidden="1" outlineLevel="2" x14ac:dyDescent="0.25">
      <c r="A88" s="27"/>
      <c r="B88" s="11" t="str">
        <f>CONCATENATE("          ", "6307", " - ", "POSTAGE")</f>
        <v xml:space="preserve">          6307 - POSTAGE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0.5</v>
      </c>
      <c r="Q88" s="2"/>
      <c r="R88" s="6">
        <f t="shared" si="40"/>
        <v>2.6794229348260651E-7</v>
      </c>
      <c r="S88" s="2"/>
      <c r="T88" s="7"/>
      <c r="U88" s="2"/>
      <c r="V88" s="6">
        <f t="shared" si="41"/>
        <v>0</v>
      </c>
      <c r="W88" s="2"/>
      <c r="X88" s="7">
        <f t="shared" si="42"/>
        <v>0.5</v>
      </c>
      <c r="Y88" s="2"/>
      <c r="Z88" s="6">
        <f t="shared" si="43"/>
        <v>0</v>
      </c>
    </row>
    <row r="89" spans="1:26" s="28" customFormat="1" outlineLevel="1" collapsed="1" x14ac:dyDescent="0.25">
      <c r="A89" s="29"/>
      <c r="B89" s="14" t="str">
        <f>CONCATENATE("     ","General                                           ")</f>
        <v xml:space="preserve">     General                                           </v>
      </c>
      <c r="C89" s="14"/>
      <c r="D89" s="1">
        <f>SUM(OSRRefD22_7x_0)</f>
        <v>-4.21</v>
      </c>
      <c r="E89" s="1"/>
      <c r="F89" s="5">
        <f t="shared" ref="F89:F91" si="44">IF(D$12=0,0,D89/D$12)</f>
        <v>-6.742699546269173E-5</v>
      </c>
      <c r="G89" s="1"/>
      <c r="H89" s="1">
        <f>SUM(OSRRefH22_7x_0)</f>
        <v>125</v>
      </c>
      <c r="I89" s="1"/>
      <c r="J89" s="5">
        <f t="shared" ref="J89:J91" si="45">IF(H$12=0,0,H89/H$12)</f>
        <v>9.6761957842750204E-4</v>
      </c>
      <c r="K89" s="1"/>
      <c r="L89" s="1">
        <f t="shared" ref="L89:L91" si="46">+D89-H89</f>
        <v>-129.21</v>
      </c>
      <c r="M89" s="1"/>
      <c r="N89" s="5">
        <f t="shared" ref="N89:N91" si="47">IF(H89=0,0,L89/H89)</f>
        <v>-1.0336800000000002</v>
      </c>
      <c r="O89" s="14"/>
      <c r="P89" s="1">
        <f>SUM(OSRRefP22_7x_0)</f>
        <v>-1042.03</v>
      </c>
      <c r="Q89" s="1"/>
      <c r="R89" s="5">
        <f t="shared" ref="R89:R91" si="48">IF(P$12=0,0,P89/P$12)</f>
        <v>-5.5840781615536098E-4</v>
      </c>
      <c r="S89" s="1"/>
      <c r="T89" s="1">
        <f>SUM(OSRRefT22_7x_0)</f>
        <v>1500</v>
      </c>
      <c r="U89" s="1"/>
      <c r="V89" s="5">
        <f t="shared" ref="V89:V91" si="49">IF(T$12=0,0,T89/T$12)</f>
        <v>5.1008454141189357E-4</v>
      </c>
      <c r="W89" s="1"/>
      <c r="X89" s="1">
        <f t="shared" ref="X89:X91" si="50">+P89-T89</f>
        <v>-2542.0299999999997</v>
      </c>
      <c r="Y89" s="1"/>
      <c r="Z89" s="5">
        <f t="shared" ref="Z89:Z91" si="51">IF(T89=0,0,X89/T89)</f>
        <v>-1.6946866666666665</v>
      </c>
    </row>
    <row r="90" spans="1:26" s="24" customFormat="1" hidden="1" outlineLevel="2" x14ac:dyDescent="0.25">
      <c r="A90" s="27"/>
      <c r="B90" s="11" t="str">
        <f>CONCATENATE("          ", "6269", " - ", "ENTERTAINMENT")</f>
        <v xml:space="preserve">          6269 - ENTERTAINMENT</v>
      </c>
      <c r="C90" s="11"/>
      <c r="D90" s="7"/>
      <c r="E90" s="2"/>
      <c r="F90" s="6">
        <f t="shared" si="44"/>
        <v>0</v>
      </c>
      <c r="G90" s="2"/>
      <c r="H90" s="7">
        <v>125</v>
      </c>
      <c r="I90" s="2"/>
      <c r="J90" s="6">
        <f t="shared" si="45"/>
        <v>9.6761957842750204E-4</v>
      </c>
      <c r="K90" s="2"/>
      <c r="L90" s="7">
        <f t="shared" si="46"/>
        <v>-125</v>
      </c>
      <c r="M90" s="2"/>
      <c r="N90" s="6">
        <f t="shared" si="47"/>
        <v>-1</v>
      </c>
      <c r="O90" s="11"/>
      <c r="P90" s="7"/>
      <c r="Q90" s="2"/>
      <c r="R90" s="6">
        <f t="shared" si="48"/>
        <v>0</v>
      </c>
      <c r="S90" s="2"/>
      <c r="T90" s="7">
        <v>1500</v>
      </c>
      <c r="U90" s="2"/>
      <c r="V90" s="6">
        <f t="shared" si="49"/>
        <v>5.1008454141189357E-4</v>
      </c>
      <c r="W90" s="2"/>
      <c r="X90" s="7">
        <f t="shared" si="50"/>
        <v>-1500</v>
      </c>
      <c r="Y90" s="2"/>
      <c r="Z90" s="6">
        <f t="shared" si="51"/>
        <v>-1</v>
      </c>
    </row>
    <row r="91" spans="1:26" s="24" customFormat="1" hidden="1" outlineLevel="2" x14ac:dyDescent="0.25">
      <c r="A91" s="27"/>
      <c r="B91" s="11" t="str">
        <f>CONCATENATE("          ", "6279", " - ", "GENERAL EXPENSE")</f>
        <v xml:space="preserve">          6279 - GENERAL EXPENSE</v>
      </c>
      <c r="C91" s="11"/>
      <c r="D91" s="7">
        <v>-4.21</v>
      </c>
      <c r="E91" s="2"/>
      <c r="F91" s="6">
        <f t="shared" si="44"/>
        <v>-6.742699546269173E-5</v>
      </c>
      <c r="G91" s="2"/>
      <c r="H91" s="7"/>
      <c r="I91" s="2"/>
      <c r="J91" s="6">
        <f t="shared" si="45"/>
        <v>0</v>
      </c>
      <c r="K91" s="2"/>
      <c r="L91" s="7">
        <f t="shared" si="46"/>
        <v>-4.21</v>
      </c>
      <c r="M91" s="2"/>
      <c r="N91" s="6">
        <f t="shared" si="47"/>
        <v>0</v>
      </c>
      <c r="O91" s="11"/>
      <c r="P91" s="7">
        <v>-1042.03</v>
      </c>
      <c r="Q91" s="2"/>
      <c r="R91" s="6">
        <f t="shared" si="48"/>
        <v>-5.5840781615536098E-4</v>
      </c>
      <c r="S91" s="2"/>
      <c r="T91" s="7"/>
      <c r="U91" s="2"/>
      <c r="V91" s="6">
        <f t="shared" si="49"/>
        <v>0</v>
      </c>
      <c r="W91" s="2"/>
      <c r="X91" s="7">
        <f t="shared" si="50"/>
        <v>-1042.03</v>
      </c>
      <c r="Y91" s="2"/>
      <c r="Z91" s="6">
        <f t="shared" si="51"/>
        <v>0</v>
      </c>
    </row>
    <row r="92" spans="1:26" s="28" customFormat="1" outlineLevel="1" collapsed="1" x14ac:dyDescent="0.25">
      <c r="A92" s="29"/>
      <c r="B92" s="14" t="str">
        <f>CONCATENATE("     ","Inventory Adjustment                              ")</f>
        <v xml:space="preserve">     Inventory Adjustment                              </v>
      </c>
      <c r="C92" s="14"/>
      <c r="D92" s="1">
        <f>SUM(OSRRefD22_8x_0)</f>
        <v>1000</v>
      </c>
      <c r="E92" s="1"/>
      <c r="F92" s="5">
        <f t="shared" ref="F92:F96" si="52">IF(D$12=0,0,D92/D$12)</f>
        <v>1.6015913411565733E-2</v>
      </c>
      <c r="G92" s="1"/>
      <c r="H92" s="1">
        <f>SUM(OSRRefH22_8x_0)</f>
        <v>1000</v>
      </c>
      <c r="I92" s="1"/>
      <c r="J92" s="5">
        <f t="shared" ref="J92:J96" si="53">IF(H$12=0,0,H92/H$12)</f>
        <v>7.7409566274200163E-3</v>
      </c>
      <c r="K92" s="1"/>
      <c r="L92" s="1">
        <f t="shared" ref="L92:L96" si="54">+D92-H92</f>
        <v>0</v>
      </c>
      <c r="M92" s="1"/>
      <c r="N92" s="5">
        <f t="shared" ref="N92:N96" si="55">IF(H92=0,0,L92/H92)</f>
        <v>0</v>
      </c>
      <c r="O92" s="14"/>
      <c r="P92" s="1">
        <f>SUM(OSRRefP22_8x_0)</f>
        <v>13000</v>
      </c>
      <c r="Q92" s="1"/>
      <c r="R92" s="5">
        <f t="shared" ref="R92:R96" si="56">IF(P$12=0,0,P92/P$12)</f>
        <v>6.9664996305477695E-3</v>
      </c>
      <c r="S92" s="1"/>
      <c r="T92" s="1">
        <f>SUM(OSRRefT22_8x_0)</f>
        <v>13000</v>
      </c>
      <c r="U92" s="1"/>
      <c r="V92" s="5">
        <f t="shared" ref="V92:V96" si="57">IF(T$12=0,0,T92/T$12)</f>
        <v>4.4207326922364116E-3</v>
      </c>
      <c r="W92" s="1"/>
      <c r="X92" s="1">
        <f t="shared" ref="X92:X96" si="58">+P92-T92</f>
        <v>0</v>
      </c>
      <c r="Y92" s="1"/>
      <c r="Z92" s="5">
        <f t="shared" ref="Z92:Z96" si="59">IF(T92=0,0,X92/T92)</f>
        <v>0</v>
      </c>
    </row>
    <row r="93" spans="1:26" s="24" customFormat="1" hidden="1" outlineLevel="2" x14ac:dyDescent="0.25">
      <c r="A93" s="27"/>
      <c r="B93" s="11" t="str">
        <f>CONCATENATE("          ", "6408", " - ", "INVENTORY ADJUSTMENT")</f>
        <v xml:space="preserve">          6408 - INVENTORY ADJUSTMENT</v>
      </c>
      <c r="C93" s="11"/>
      <c r="D93" s="7">
        <v>1000</v>
      </c>
      <c r="E93" s="2"/>
      <c r="F93" s="6">
        <f t="shared" si="52"/>
        <v>1.6015913411565733E-2</v>
      </c>
      <c r="G93" s="2"/>
      <c r="H93" s="7">
        <v>1000</v>
      </c>
      <c r="I93" s="2"/>
      <c r="J93" s="6">
        <f t="shared" si="53"/>
        <v>7.7409566274200163E-3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>
        <v>13000</v>
      </c>
      <c r="Q93" s="2"/>
      <c r="R93" s="6">
        <f t="shared" si="56"/>
        <v>6.9664996305477695E-3</v>
      </c>
      <c r="S93" s="2"/>
      <c r="T93" s="7">
        <v>13000</v>
      </c>
      <c r="U93" s="2"/>
      <c r="V93" s="6">
        <f t="shared" si="57"/>
        <v>4.4207326922364116E-3</v>
      </c>
      <c r="W93" s="2"/>
      <c r="X93" s="7">
        <f t="shared" si="58"/>
        <v>0</v>
      </c>
      <c r="Y93" s="2"/>
      <c r="Z93" s="6">
        <f t="shared" si="59"/>
        <v>0</v>
      </c>
    </row>
    <row r="94" spans="1:26" s="28" customFormat="1" outlineLevel="1" collapsed="1" x14ac:dyDescent="0.25">
      <c r="A94" s="29"/>
      <c r="B94" s="14" t="str">
        <f>CONCATENATE("     ","Repair and Maintenance                            ")</f>
        <v xml:space="preserve">     Repair and Maintenance                            </v>
      </c>
      <c r="C94" s="14"/>
      <c r="D94" s="1">
        <f>SUM(OSRRefD22_9x_0)</f>
        <v>15.47</v>
      </c>
      <c r="E94" s="1"/>
      <c r="F94" s="5">
        <f t="shared" si="52"/>
        <v>2.4776618047692189E-4</v>
      </c>
      <c r="G94" s="1"/>
      <c r="H94" s="1">
        <f>SUM(OSRRefH22_9x_0)</f>
        <v>140</v>
      </c>
      <c r="I94" s="1"/>
      <c r="J94" s="5">
        <f t="shared" si="53"/>
        <v>1.0837339278388022E-3</v>
      </c>
      <c r="K94" s="1"/>
      <c r="L94" s="1">
        <f t="shared" si="54"/>
        <v>-124.53</v>
      </c>
      <c r="M94" s="1"/>
      <c r="N94" s="5">
        <f t="shared" si="55"/>
        <v>-0.88949999999999996</v>
      </c>
      <c r="O94" s="14"/>
      <c r="P94" s="1">
        <f>SUM(OSRRefP22_9x_0)</f>
        <v>182.85000000000002</v>
      </c>
      <c r="Q94" s="1"/>
      <c r="R94" s="5">
        <f t="shared" si="56"/>
        <v>9.7986496726589216E-5</v>
      </c>
      <c r="S94" s="1"/>
      <c r="T94" s="1">
        <f>SUM(OSRRefT22_9x_0)</f>
        <v>1120</v>
      </c>
      <c r="U94" s="1"/>
      <c r="V94" s="5">
        <f t="shared" si="57"/>
        <v>3.8086312425421391E-4</v>
      </c>
      <c r="W94" s="1"/>
      <c r="X94" s="1">
        <f t="shared" si="58"/>
        <v>-937.15</v>
      </c>
      <c r="Y94" s="1"/>
      <c r="Z94" s="5">
        <f t="shared" si="59"/>
        <v>-0.83674107142857146</v>
      </c>
    </row>
    <row r="95" spans="1:26" s="24" customFormat="1" hidden="1" outlineLevel="2" x14ac:dyDescent="0.25">
      <c r="A95" s="27"/>
      <c r="B95" s="11" t="str">
        <f>CONCATENATE("          ", "6373", " - ", "MAINTENANCE CONTRACTS")</f>
        <v xml:space="preserve">          6373 - MAINTENANCE CONTRACTS</v>
      </c>
      <c r="C95" s="11"/>
      <c r="D95" s="7">
        <v>15.47</v>
      </c>
      <c r="E95" s="2"/>
      <c r="F95" s="6">
        <f t="shared" si="52"/>
        <v>2.4776618047692189E-4</v>
      </c>
      <c r="G95" s="2"/>
      <c r="H95" s="7">
        <v>40</v>
      </c>
      <c r="I95" s="2"/>
      <c r="J95" s="6">
        <f t="shared" si="53"/>
        <v>3.0963826509680068E-4</v>
      </c>
      <c r="K95" s="2"/>
      <c r="L95" s="7">
        <f t="shared" si="54"/>
        <v>-24.53</v>
      </c>
      <c r="M95" s="2"/>
      <c r="N95" s="6">
        <f t="shared" si="55"/>
        <v>-0.61325000000000007</v>
      </c>
      <c r="O95" s="11"/>
      <c r="P95" s="7">
        <v>157.74</v>
      </c>
      <c r="Q95" s="2"/>
      <c r="R95" s="6">
        <f t="shared" si="56"/>
        <v>8.4530434747892707E-5</v>
      </c>
      <c r="S95" s="2"/>
      <c r="T95" s="7">
        <v>320</v>
      </c>
      <c r="U95" s="2"/>
      <c r="V95" s="6">
        <f t="shared" si="57"/>
        <v>1.0881803550120397E-4</v>
      </c>
      <c r="W95" s="2"/>
      <c r="X95" s="7">
        <f t="shared" si="58"/>
        <v>-162.26</v>
      </c>
      <c r="Y95" s="2"/>
      <c r="Z95" s="6">
        <f t="shared" si="59"/>
        <v>-0.50706249999999997</v>
      </c>
    </row>
    <row r="96" spans="1:26" s="24" customFormat="1" hidden="1" outlineLevel="2" x14ac:dyDescent="0.2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52"/>
        <v>0</v>
      </c>
      <c r="G96" s="2"/>
      <c r="H96" s="7">
        <v>100</v>
      </c>
      <c r="I96" s="2"/>
      <c r="J96" s="6">
        <f t="shared" si="53"/>
        <v>7.7409566274200161E-4</v>
      </c>
      <c r="K96" s="2"/>
      <c r="L96" s="7">
        <f t="shared" si="54"/>
        <v>-100</v>
      </c>
      <c r="M96" s="2"/>
      <c r="N96" s="6">
        <f t="shared" si="55"/>
        <v>-1</v>
      </c>
      <c r="O96" s="11"/>
      <c r="P96" s="7">
        <v>25.11</v>
      </c>
      <c r="Q96" s="2"/>
      <c r="R96" s="6">
        <f t="shared" si="56"/>
        <v>1.3456061978696499E-5</v>
      </c>
      <c r="S96" s="2"/>
      <c r="T96" s="7">
        <v>800</v>
      </c>
      <c r="U96" s="2"/>
      <c r="V96" s="6">
        <f t="shared" si="57"/>
        <v>2.7204508875300993E-4</v>
      </c>
      <c r="W96" s="2"/>
      <c r="X96" s="7">
        <f t="shared" si="58"/>
        <v>-774.89</v>
      </c>
      <c r="Y96" s="2"/>
      <c r="Z96" s="6">
        <f t="shared" si="59"/>
        <v>-0.96861249999999999</v>
      </c>
    </row>
    <row r="97" spans="1:26" s="28" customFormat="1" outlineLevel="1" collapsed="1" x14ac:dyDescent="0.25">
      <c r="A97" s="29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SUM(OSRRefD22_10x_0)</f>
        <v>181.41</v>
      </c>
      <c r="E97" s="1"/>
      <c r="F97" s="5">
        <f t="shared" ref="F97:F99" si="60">IF(D$12=0,0,D97/D$12)</f>
        <v>2.9054468519921391E-3</v>
      </c>
      <c r="G97" s="1"/>
      <c r="H97" s="1">
        <f>SUM(OSRRefH22_10x_0)</f>
        <v>300</v>
      </c>
      <c r="I97" s="1"/>
      <c r="J97" s="5">
        <f t="shared" ref="J97:J99" si="61">IF(H$12=0,0,H97/H$12)</f>
        <v>2.3222869882260052E-3</v>
      </c>
      <c r="K97" s="1"/>
      <c r="L97" s="1">
        <f t="shared" ref="L97:L99" si="62">+D97-H97</f>
        <v>-118.59</v>
      </c>
      <c r="M97" s="1"/>
      <c r="N97" s="5">
        <f t="shared" ref="N97:N99" si="63">IF(H97=0,0,L97/H97)</f>
        <v>-0.39529999999999998</v>
      </c>
      <c r="O97" s="14"/>
      <c r="P97" s="1">
        <f>SUM(OSRRefP22_10x_0)</f>
        <v>4093.84</v>
      </c>
      <c r="Q97" s="1"/>
      <c r="R97" s="5">
        <f t="shared" ref="R97:R99" si="64">IF(P$12=0,0,P97/P$12)</f>
        <v>2.1938257575016677E-3</v>
      </c>
      <c r="S97" s="1"/>
      <c r="T97" s="1">
        <f>SUM(OSRRefT22_10x_0)</f>
        <v>2400</v>
      </c>
      <c r="U97" s="1"/>
      <c r="V97" s="5">
        <f t="shared" ref="V97:V99" si="65">IF(T$12=0,0,T97/T$12)</f>
        <v>8.1613526625902975E-4</v>
      </c>
      <c r="W97" s="1"/>
      <c r="X97" s="1">
        <f t="shared" ref="X97:X99" si="66">+P97-T97</f>
        <v>1693.8400000000001</v>
      </c>
      <c r="Y97" s="1"/>
      <c r="Z97" s="5">
        <f t="shared" ref="Z97:Z99" si="67">IF(T97=0,0,X97/T97)</f>
        <v>0.70576666666666676</v>
      </c>
    </row>
    <row r="98" spans="1:26" s="24" customFormat="1" hidden="1" outlineLevel="2" x14ac:dyDescent="0.25">
      <c r="A98" s="27"/>
      <c r="B98" s="11" t="str">
        <f>CONCATENATE("          ", "6258", " - ", "MEMBERSHIP DUES")</f>
        <v xml:space="preserve">          6258 - MEMBERSHIP DUES</v>
      </c>
      <c r="C98" s="11"/>
      <c r="D98" s="7">
        <v>181.41</v>
      </c>
      <c r="E98" s="2"/>
      <c r="F98" s="6">
        <f t="shared" si="60"/>
        <v>2.9054468519921391E-3</v>
      </c>
      <c r="G98" s="2"/>
      <c r="H98" s="7">
        <v>300</v>
      </c>
      <c r="I98" s="2"/>
      <c r="J98" s="6">
        <f t="shared" si="61"/>
        <v>2.3222869882260052E-3</v>
      </c>
      <c r="K98" s="2"/>
      <c r="L98" s="7">
        <f t="shared" si="62"/>
        <v>-118.59</v>
      </c>
      <c r="M98" s="2"/>
      <c r="N98" s="6">
        <f t="shared" si="63"/>
        <v>-0.39529999999999998</v>
      </c>
      <c r="O98" s="11"/>
      <c r="P98" s="7">
        <v>2241.7600000000002</v>
      </c>
      <c r="Q98" s="2"/>
      <c r="R98" s="6">
        <f t="shared" si="64"/>
        <v>1.2013246316751362E-3</v>
      </c>
      <c r="S98" s="2"/>
      <c r="T98" s="7">
        <v>2400</v>
      </c>
      <c r="U98" s="2"/>
      <c r="V98" s="6">
        <f t="shared" si="65"/>
        <v>8.1613526625902975E-4</v>
      </c>
      <c r="W98" s="2"/>
      <c r="X98" s="7">
        <f t="shared" si="66"/>
        <v>-158.23999999999978</v>
      </c>
      <c r="Y98" s="2"/>
      <c r="Z98" s="6">
        <f t="shared" si="67"/>
        <v>-6.5933333333333247E-2</v>
      </c>
    </row>
    <row r="99" spans="1:26" s="24" customFormat="1" hidden="1" outlineLevel="2" x14ac:dyDescent="0.25">
      <c r="A99" s="27"/>
      <c r="B99" s="11" t="str">
        <f>CONCATENATE("          ", "6275", " - ", "SUBSCRIPTIONS")</f>
        <v xml:space="preserve">          6275 - SUBSCRIPTIONS</v>
      </c>
      <c r="C99" s="11"/>
      <c r="D99" s="7"/>
      <c r="E99" s="2"/>
      <c r="F99" s="6">
        <f t="shared" si="60"/>
        <v>0</v>
      </c>
      <c r="G99" s="2"/>
      <c r="H99" s="7"/>
      <c r="I99" s="2"/>
      <c r="J99" s="6">
        <f t="shared" si="61"/>
        <v>0</v>
      </c>
      <c r="K99" s="2"/>
      <c r="L99" s="7">
        <f t="shared" si="62"/>
        <v>0</v>
      </c>
      <c r="M99" s="2"/>
      <c r="N99" s="6">
        <f t="shared" si="63"/>
        <v>0</v>
      </c>
      <c r="O99" s="11"/>
      <c r="P99" s="7">
        <v>1852.08</v>
      </c>
      <c r="Q99" s="2"/>
      <c r="R99" s="6">
        <f t="shared" si="64"/>
        <v>9.9250112582653172E-4</v>
      </c>
      <c r="S99" s="2"/>
      <c r="T99" s="7"/>
      <c r="U99" s="2"/>
      <c r="V99" s="6">
        <f t="shared" si="65"/>
        <v>0</v>
      </c>
      <c r="W99" s="2"/>
      <c r="X99" s="7">
        <f t="shared" si="66"/>
        <v>1852.08</v>
      </c>
      <c r="Y99" s="2"/>
      <c r="Z99" s="6">
        <f t="shared" si="67"/>
        <v>0</v>
      </c>
    </row>
    <row r="100" spans="1:26" s="28" customFormat="1" outlineLevel="1" collapsed="1" x14ac:dyDescent="0.25">
      <c r="A100" s="29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SUM(OSRRefD22_11x_0)</f>
        <v>583.6</v>
      </c>
      <c r="E100" s="1"/>
      <c r="F100" s="5">
        <f t="shared" ref="F100:F103" si="68">IF(D$12=0,0,D100/D$12)</f>
        <v>9.3468870669897609E-3</v>
      </c>
      <c r="G100" s="1"/>
      <c r="H100" s="1">
        <f>SUM(OSRRefH22_11x_0)</f>
        <v>1800</v>
      </c>
      <c r="I100" s="1"/>
      <c r="J100" s="5">
        <f t="shared" ref="J100:J103" si="69">IF(H$12=0,0,H100/H$12)</f>
        <v>1.3933721929356029E-2</v>
      </c>
      <c r="K100" s="1"/>
      <c r="L100" s="1">
        <f t="shared" ref="L100:L103" si="70">+D100-H100</f>
        <v>-1216.4000000000001</v>
      </c>
      <c r="M100" s="1"/>
      <c r="N100" s="5">
        <f t="shared" ref="N100:N103" si="71">IF(H100=0,0,L100/H100)</f>
        <v>-0.67577777777777781</v>
      </c>
      <c r="O100" s="14"/>
      <c r="P100" s="1">
        <f>SUM(OSRRefP22_11x_0)</f>
        <v>4835.5</v>
      </c>
      <c r="Q100" s="1"/>
      <c r="R100" s="5">
        <f t="shared" ref="R100:R103" si="72">IF(P$12=0,0,P100/P$12)</f>
        <v>2.5912699202702877E-3</v>
      </c>
      <c r="S100" s="1"/>
      <c r="T100" s="1">
        <f>SUM(OSRRefT22_11x_0)</f>
        <v>10200</v>
      </c>
      <c r="U100" s="1"/>
      <c r="V100" s="5">
        <f t="shared" ref="V100:V103" si="73">IF(T$12=0,0,T100/T$12)</f>
        <v>3.4685748816008764E-3</v>
      </c>
      <c r="W100" s="1"/>
      <c r="X100" s="1">
        <f t="shared" ref="X100:X103" si="74">+P100-T100</f>
        <v>-5364.5</v>
      </c>
      <c r="Y100" s="1"/>
      <c r="Z100" s="5">
        <f t="shared" ref="Z100:Z103" si="75">IF(T100=0,0,X100/T100)</f>
        <v>-0.52593137254901956</v>
      </c>
    </row>
    <row r="101" spans="1:26" s="24" customFormat="1" hidden="1" outlineLevel="2" x14ac:dyDescent="0.25">
      <c r="A101" s="27"/>
      <c r="B101" s="11" t="str">
        <f>CONCATENATE("          ", "6241", " - ", "OFFICE EXPENSE")</f>
        <v xml:space="preserve">          6241 - OFFICE EXPENSE</v>
      </c>
      <c r="C101" s="11"/>
      <c r="D101" s="7">
        <v>45</v>
      </c>
      <c r="E101" s="2"/>
      <c r="F101" s="6">
        <f t="shared" si="68"/>
        <v>7.2071610352045787E-4</v>
      </c>
      <c r="G101" s="2"/>
      <c r="H101" s="7">
        <v>500</v>
      </c>
      <c r="I101" s="2"/>
      <c r="J101" s="6">
        <f t="shared" si="69"/>
        <v>3.8704783137100082E-3</v>
      </c>
      <c r="K101" s="2"/>
      <c r="L101" s="7">
        <f t="shared" si="70"/>
        <v>-455</v>
      </c>
      <c r="M101" s="2"/>
      <c r="N101" s="6">
        <f t="shared" si="71"/>
        <v>-0.91</v>
      </c>
      <c r="O101" s="11"/>
      <c r="P101" s="7">
        <v>1254.5999999999999</v>
      </c>
      <c r="Q101" s="2"/>
      <c r="R101" s="6">
        <f t="shared" si="72"/>
        <v>6.7232080280655627E-4</v>
      </c>
      <c r="S101" s="2"/>
      <c r="T101" s="7">
        <v>3600</v>
      </c>
      <c r="U101" s="2"/>
      <c r="V101" s="6">
        <f t="shared" si="73"/>
        <v>1.2242028993885447E-3</v>
      </c>
      <c r="W101" s="2"/>
      <c r="X101" s="7">
        <f t="shared" si="74"/>
        <v>-2345.4</v>
      </c>
      <c r="Y101" s="2"/>
      <c r="Z101" s="6">
        <f t="shared" si="75"/>
        <v>-0.65150000000000008</v>
      </c>
    </row>
    <row r="102" spans="1:26" s="24" customFormat="1" hidden="1" outlineLevel="2" x14ac:dyDescent="0.25">
      <c r="A102" s="27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68"/>
        <v>0</v>
      </c>
      <c r="G102" s="2"/>
      <c r="H102" s="7">
        <v>100</v>
      </c>
      <c r="I102" s="2"/>
      <c r="J102" s="6">
        <f t="shared" si="69"/>
        <v>7.7409566274200161E-4</v>
      </c>
      <c r="K102" s="2"/>
      <c r="L102" s="7">
        <f t="shared" si="70"/>
        <v>-100</v>
      </c>
      <c r="M102" s="2"/>
      <c r="N102" s="6">
        <f t="shared" si="71"/>
        <v>-1</v>
      </c>
      <c r="O102" s="11"/>
      <c r="P102" s="7"/>
      <c r="Q102" s="2"/>
      <c r="R102" s="6">
        <f t="shared" si="72"/>
        <v>0</v>
      </c>
      <c r="S102" s="2"/>
      <c r="T102" s="7">
        <v>1800</v>
      </c>
      <c r="U102" s="2"/>
      <c r="V102" s="6">
        <f t="shared" si="73"/>
        <v>6.1210144969427237E-4</v>
      </c>
      <c r="W102" s="2"/>
      <c r="X102" s="7">
        <f t="shared" si="74"/>
        <v>-1800</v>
      </c>
      <c r="Y102" s="2"/>
      <c r="Z102" s="6">
        <f t="shared" si="75"/>
        <v>-1</v>
      </c>
    </row>
    <row r="103" spans="1:26" s="24" customFormat="1" hidden="1" outlineLevel="2" x14ac:dyDescent="0.25">
      <c r="A103" s="27"/>
      <c r="B103" s="11" t="str">
        <f>CONCATENATE("          ", "6247", " - ", "STORE SUPPLIES")</f>
        <v xml:space="preserve">          6247 - STORE SUPPLIES</v>
      </c>
      <c r="C103" s="11"/>
      <c r="D103" s="7">
        <v>538.6</v>
      </c>
      <c r="E103" s="2"/>
      <c r="F103" s="6">
        <f t="shared" si="68"/>
        <v>8.6261709634693033E-3</v>
      </c>
      <c r="G103" s="2"/>
      <c r="H103" s="7">
        <v>1200</v>
      </c>
      <c r="I103" s="2"/>
      <c r="J103" s="6">
        <f t="shared" si="69"/>
        <v>9.2891479529040206E-3</v>
      </c>
      <c r="K103" s="2"/>
      <c r="L103" s="7">
        <f t="shared" si="70"/>
        <v>-661.4</v>
      </c>
      <c r="M103" s="2"/>
      <c r="N103" s="6">
        <f t="shared" si="71"/>
        <v>-0.55116666666666669</v>
      </c>
      <c r="O103" s="11"/>
      <c r="P103" s="7">
        <v>3580.9</v>
      </c>
      <c r="Q103" s="2"/>
      <c r="R103" s="6">
        <f t="shared" si="72"/>
        <v>1.9189491174637315E-3</v>
      </c>
      <c r="S103" s="2"/>
      <c r="T103" s="7">
        <v>4800</v>
      </c>
      <c r="U103" s="2"/>
      <c r="V103" s="6">
        <f t="shared" si="73"/>
        <v>1.6322705325180595E-3</v>
      </c>
      <c r="W103" s="2"/>
      <c r="X103" s="7">
        <f t="shared" si="74"/>
        <v>-1219.0999999999999</v>
      </c>
      <c r="Y103" s="2"/>
      <c r="Z103" s="6">
        <f t="shared" si="75"/>
        <v>-0.25397916666666664</v>
      </c>
    </row>
    <row r="104" spans="1:26" s="28" customFormat="1" outlineLevel="1" collapsed="1" x14ac:dyDescent="0.25">
      <c r="A104" s="29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SUM(OSRRefD22_12x_0)</f>
        <v>505.85</v>
      </c>
      <c r="E104" s="1"/>
      <c r="F104" s="5">
        <f t="shared" ref="F104:F106" si="76">IF(D$12=0,0,D104/D$12)</f>
        <v>8.1016497992405252E-3</v>
      </c>
      <c r="G104" s="1"/>
      <c r="H104" s="1">
        <f>SUM(OSRRefH22_12x_0)</f>
        <v>600</v>
      </c>
      <c r="I104" s="1"/>
      <c r="J104" s="5">
        <f t="shared" ref="J104:J106" si="77">IF(H$12=0,0,H104/H$12)</f>
        <v>4.6445739764520103E-3</v>
      </c>
      <c r="K104" s="1"/>
      <c r="L104" s="1">
        <f t="shared" ref="L104:L106" si="78">+D104-H104</f>
        <v>-94.149999999999977</v>
      </c>
      <c r="M104" s="1"/>
      <c r="N104" s="5">
        <f t="shared" ref="N104:N106" si="79">IF(H104=0,0,L104/H104)</f>
        <v>-0.15691666666666662</v>
      </c>
      <c r="O104" s="14"/>
      <c r="P104" s="1">
        <f>SUM(OSRRefP22_12x_0)</f>
        <v>6763.55</v>
      </c>
      <c r="Q104" s="1"/>
      <c r="R104" s="5">
        <f t="shared" ref="R104:R106" si="80">IF(P$12=0,0,P104/P$12)</f>
        <v>3.6244821981685667E-3</v>
      </c>
      <c r="S104" s="1"/>
      <c r="T104" s="1">
        <f>SUM(OSRRefT22_12x_0)</f>
        <v>7100</v>
      </c>
      <c r="U104" s="1"/>
      <c r="V104" s="5">
        <f t="shared" ref="V104:V106" si="81">IF(T$12=0,0,T104/T$12)</f>
        <v>2.4144001626829632E-3</v>
      </c>
      <c r="W104" s="1"/>
      <c r="X104" s="1">
        <f t="shared" ref="X104:X106" si="82">+P104-T104</f>
        <v>-336.44999999999982</v>
      </c>
      <c r="Y104" s="1"/>
      <c r="Z104" s="5">
        <f t="shared" ref="Z104:Z106" si="83">IF(T104=0,0,X104/T104)</f>
        <v>-4.7387323943661949E-2</v>
      </c>
    </row>
    <row r="105" spans="1:26" s="24" customFormat="1" hidden="1" outlineLevel="2" x14ac:dyDescent="0.25">
      <c r="A105" s="27"/>
      <c r="B105" s="11" t="str">
        <f>CONCATENATE("          ", "6303", " - ", "DATA PHONE LINES")</f>
        <v xml:space="preserve">          6303 - DATA PHONE LINES</v>
      </c>
      <c r="C105" s="11"/>
      <c r="D105" s="7">
        <v>590</v>
      </c>
      <c r="E105" s="2"/>
      <c r="F105" s="6">
        <f t="shared" si="76"/>
        <v>9.4493889128237814E-3</v>
      </c>
      <c r="G105" s="2"/>
      <c r="H105" s="7">
        <v>300</v>
      </c>
      <c r="I105" s="2"/>
      <c r="J105" s="6">
        <f t="shared" si="77"/>
        <v>2.3222869882260052E-3</v>
      </c>
      <c r="K105" s="2"/>
      <c r="L105" s="7">
        <f t="shared" si="78"/>
        <v>290</v>
      </c>
      <c r="M105" s="2"/>
      <c r="N105" s="6">
        <f t="shared" si="79"/>
        <v>0.96666666666666667</v>
      </c>
      <c r="O105" s="11"/>
      <c r="P105" s="7">
        <v>2950</v>
      </c>
      <c r="Q105" s="2"/>
      <c r="R105" s="6">
        <f t="shared" si="80"/>
        <v>1.5808595315473786E-3</v>
      </c>
      <c r="S105" s="2"/>
      <c r="T105" s="7">
        <v>2400</v>
      </c>
      <c r="U105" s="2"/>
      <c r="V105" s="6">
        <f t="shared" si="81"/>
        <v>8.1613526625902975E-4</v>
      </c>
      <c r="W105" s="2"/>
      <c r="X105" s="7">
        <f t="shared" si="82"/>
        <v>550</v>
      </c>
      <c r="Y105" s="2"/>
      <c r="Z105" s="6">
        <f t="shared" si="83"/>
        <v>0.22916666666666666</v>
      </c>
    </row>
    <row r="106" spans="1:26" s="24" customFormat="1" hidden="1" outlineLevel="2" x14ac:dyDescent="0.25">
      <c r="A106" s="27"/>
      <c r="B106" s="11" t="str">
        <f>CONCATENATE("          ", "6309", " - ", "TELEPHONE")</f>
        <v xml:space="preserve">          6309 - TELEPHONE</v>
      </c>
      <c r="C106" s="11"/>
      <c r="D106" s="7">
        <v>-84.15</v>
      </c>
      <c r="E106" s="2"/>
      <c r="F106" s="6">
        <f t="shared" si="76"/>
        <v>-1.3477391135832564E-3</v>
      </c>
      <c r="G106" s="2"/>
      <c r="H106" s="7">
        <v>300</v>
      </c>
      <c r="I106" s="2"/>
      <c r="J106" s="6">
        <f t="shared" si="77"/>
        <v>2.3222869882260052E-3</v>
      </c>
      <c r="K106" s="2"/>
      <c r="L106" s="7">
        <f t="shared" si="78"/>
        <v>-384.15</v>
      </c>
      <c r="M106" s="2"/>
      <c r="N106" s="6">
        <f t="shared" si="79"/>
        <v>-1.2805</v>
      </c>
      <c r="O106" s="11"/>
      <c r="P106" s="7">
        <v>3813.55</v>
      </c>
      <c r="Q106" s="2"/>
      <c r="R106" s="6">
        <f t="shared" si="80"/>
        <v>2.0436226666211885E-3</v>
      </c>
      <c r="S106" s="2"/>
      <c r="T106" s="7">
        <v>4700</v>
      </c>
      <c r="U106" s="2"/>
      <c r="V106" s="6">
        <f t="shared" si="81"/>
        <v>1.5982648964239332E-3</v>
      </c>
      <c r="W106" s="2"/>
      <c r="X106" s="7">
        <f t="shared" si="82"/>
        <v>-886.44999999999982</v>
      </c>
      <c r="Y106" s="2"/>
      <c r="Z106" s="6">
        <f t="shared" si="83"/>
        <v>-0.18860638297872337</v>
      </c>
    </row>
    <row r="107" spans="1:26" s="28" customFormat="1" outlineLevel="1" collapsed="1" x14ac:dyDescent="0.25">
      <c r="A107" s="29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SUM(OSRRefD22_13x_0)</f>
        <v>0</v>
      </c>
      <c r="E107" s="1"/>
      <c r="F107" s="5">
        <f t="shared" ref="F107:F110" si="84">IF(D$12=0,0,D107/D$12)</f>
        <v>0</v>
      </c>
      <c r="G107" s="1"/>
      <c r="H107" s="1">
        <f>SUM(OSRRefH22_13x_0)</f>
        <v>5000</v>
      </c>
      <c r="I107" s="1"/>
      <c r="J107" s="5">
        <f t="shared" ref="J107:J110" si="85">IF(H$12=0,0,H107/H$12)</f>
        <v>3.8704783137100081E-2</v>
      </c>
      <c r="K107" s="1"/>
      <c r="L107" s="1">
        <f t="shared" ref="L107:L110" si="86">+D107-H107</f>
        <v>-5000</v>
      </c>
      <c r="M107" s="1"/>
      <c r="N107" s="5">
        <f t="shared" ref="N107:N110" si="87">IF(H107=0,0,L107/H107)</f>
        <v>-1</v>
      </c>
      <c r="O107" s="14"/>
      <c r="P107" s="1">
        <f>SUM(OSRRefP22_13x_0)</f>
        <v>0</v>
      </c>
      <c r="Q107" s="1"/>
      <c r="R107" s="5">
        <f t="shared" ref="R107:R110" si="88">IF(P$12=0,0,P107/P$12)</f>
        <v>0</v>
      </c>
      <c r="S107" s="1"/>
      <c r="T107" s="1">
        <f>SUM(OSRRefT22_13x_0)</f>
        <v>5000</v>
      </c>
      <c r="U107" s="1"/>
      <c r="V107" s="5">
        <f t="shared" ref="V107:V110" si="89">IF(T$12=0,0,T107/T$12)</f>
        <v>1.7002818047063121E-3</v>
      </c>
      <c r="W107" s="1"/>
      <c r="X107" s="1">
        <f t="shared" ref="X107:X110" si="90">+P107-T107</f>
        <v>-5000</v>
      </c>
      <c r="Y107" s="1"/>
      <c r="Z107" s="5">
        <f t="shared" ref="Z107:Z110" si="91">IF(T107=0,0,X107/T107)</f>
        <v>-1</v>
      </c>
    </row>
    <row r="108" spans="1:26" s="24" customFormat="1" hidden="1" outlineLevel="2" x14ac:dyDescent="0.25">
      <c r="A108" s="27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84"/>
        <v>0</v>
      </c>
      <c r="G108" s="2"/>
      <c r="H108" s="7">
        <v>5000</v>
      </c>
      <c r="I108" s="2"/>
      <c r="J108" s="6">
        <f t="shared" si="85"/>
        <v>3.8704783137100081E-2</v>
      </c>
      <c r="K108" s="2"/>
      <c r="L108" s="7">
        <f t="shared" si="86"/>
        <v>-5000</v>
      </c>
      <c r="M108" s="2"/>
      <c r="N108" s="6">
        <f t="shared" si="87"/>
        <v>-1</v>
      </c>
      <c r="O108" s="11"/>
      <c r="P108" s="7"/>
      <c r="Q108" s="2"/>
      <c r="R108" s="6">
        <f t="shared" si="88"/>
        <v>0</v>
      </c>
      <c r="S108" s="2"/>
      <c r="T108" s="7">
        <v>5000</v>
      </c>
      <c r="U108" s="2"/>
      <c r="V108" s="6">
        <f t="shared" si="89"/>
        <v>1.7002818047063121E-3</v>
      </c>
      <c r="W108" s="2"/>
      <c r="X108" s="7">
        <f t="shared" si="90"/>
        <v>-5000</v>
      </c>
      <c r="Y108" s="2"/>
      <c r="Z108" s="6">
        <f t="shared" si="91"/>
        <v>-1</v>
      </c>
    </row>
    <row r="109" spans="1:26" s="28" customFormat="1" outlineLevel="1" collapsed="1" x14ac:dyDescent="0.25">
      <c r="A109" s="29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SUM(OSRRefD22_14x_0)</f>
        <v>0</v>
      </c>
      <c r="E109" s="1"/>
      <c r="F109" s="5">
        <f t="shared" si="84"/>
        <v>0</v>
      </c>
      <c r="G109" s="1"/>
      <c r="H109" s="1">
        <f>SUM(OSRRefH22_14x_0)</f>
        <v>0</v>
      </c>
      <c r="I109" s="1"/>
      <c r="J109" s="5">
        <f t="shared" si="85"/>
        <v>0</v>
      </c>
      <c r="K109" s="1"/>
      <c r="L109" s="1">
        <f t="shared" si="86"/>
        <v>0</v>
      </c>
      <c r="M109" s="1"/>
      <c r="N109" s="5">
        <f t="shared" si="87"/>
        <v>0</v>
      </c>
      <c r="O109" s="14"/>
      <c r="P109" s="1">
        <f>SUM(OSRRefP22_14x_0)</f>
        <v>0.16</v>
      </c>
      <c r="Q109" s="1"/>
      <c r="R109" s="5">
        <f t="shared" si="88"/>
        <v>8.5741533914434086E-8</v>
      </c>
      <c r="S109" s="1"/>
      <c r="T109" s="1">
        <f>SUM(OSRRefT22_14x_0)</f>
        <v>0</v>
      </c>
      <c r="U109" s="1"/>
      <c r="V109" s="5">
        <f t="shared" si="89"/>
        <v>0</v>
      </c>
      <c r="W109" s="1"/>
      <c r="X109" s="1">
        <f t="shared" si="90"/>
        <v>0.16</v>
      </c>
      <c r="Y109" s="1"/>
      <c r="Z109" s="5">
        <f t="shared" si="91"/>
        <v>0</v>
      </c>
    </row>
    <row r="110" spans="1:26" s="24" customFormat="1" hidden="1" outlineLevel="2" x14ac:dyDescent="0.25">
      <c r="A110" s="27"/>
      <c r="B110" s="11" t="str">
        <f>CONCATENATE("          ", "6292", " - ", "TRAVEL/CONFERENCE")</f>
        <v xml:space="preserve">          6292 - TRAVEL/CONFERENCE</v>
      </c>
      <c r="C110" s="11"/>
      <c r="D110" s="7"/>
      <c r="E110" s="2"/>
      <c r="F110" s="6">
        <f t="shared" si="84"/>
        <v>0</v>
      </c>
      <c r="G110" s="2"/>
      <c r="H110" s="7"/>
      <c r="I110" s="2"/>
      <c r="J110" s="6">
        <f t="shared" si="85"/>
        <v>0</v>
      </c>
      <c r="K110" s="2"/>
      <c r="L110" s="7">
        <f t="shared" si="86"/>
        <v>0</v>
      </c>
      <c r="M110" s="2"/>
      <c r="N110" s="6">
        <f t="shared" si="87"/>
        <v>0</v>
      </c>
      <c r="O110" s="11"/>
      <c r="P110" s="7">
        <v>0.16</v>
      </c>
      <c r="Q110" s="2"/>
      <c r="R110" s="6">
        <f t="shared" si="88"/>
        <v>8.5741533914434086E-8</v>
      </c>
      <c r="S110" s="2"/>
      <c r="T110" s="7"/>
      <c r="U110" s="2"/>
      <c r="V110" s="6">
        <f t="shared" si="89"/>
        <v>0</v>
      </c>
      <c r="W110" s="2"/>
      <c r="X110" s="7">
        <f t="shared" si="90"/>
        <v>0.16</v>
      </c>
      <c r="Y110" s="2"/>
      <c r="Z110" s="6">
        <f t="shared" si="91"/>
        <v>0</v>
      </c>
    </row>
    <row r="111" spans="1:26" s="58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6" t="s">
        <v>0</v>
      </c>
      <c r="C112" s="10"/>
      <c r="D112" s="4">
        <f>SUM(OSRRefD25x_0)</f>
        <v>145116.21</v>
      </c>
      <c r="E112" s="4"/>
      <c r="F112" s="12">
        <f t="shared" ref="F112:F115" si="92">IF(D$12=0,0,D112/D$12)</f>
        <v>2.3241686539745889</v>
      </c>
      <c r="G112" s="4"/>
      <c r="H112" s="4">
        <f>SUM(OSRRefH25x_0)</f>
        <v>81321</v>
      </c>
      <c r="I112" s="4"/>
      <c r="J112" s="12">
        <f t="shared" ref="J112:J115" si="93">IF(H$12=0,0,H112/H$12)</f>
        <v>0.62950233389842314</v>
      </c>
      <c r="K112" s="4"/>
      <c r="L112" s="4">
        <f t="shared" ref="L112:L115" si="94">+D112-H112</f>
        <v>63795.209999999992</v>
      </c>
      <c r="M112" s="4"/>
      <c r="N112" s="12">
        <f t="shared" ref="N112:N115" si="95">IF(H112=0,0,L112/H112)</f>
        <v>0.78448629505293821</v>
      </c>
      <c r="O112" s="10"/>
      <c r="P112" s="4">
        <f>SUM(OSRRefP25x_0)</f>
        <v>325937.90000000002</v>
      </c>
      <c r="Q112" s="4"/>
      <c r="R112" s="12">
        <f t="shared" ref="R112:R115" si="96">IF(P$12=0,0,P112/P$12)</f>
        <v>0.17466509691780893</v>
      </c>
      <c r="S112" s="4"/>
      <c r="T112" s="4">
        <f>SUM(OSRRefT25x_0)</f>
        <v>196080</v>
      </c>
      <c r="U112" s="4"/>
      <c r="V112" s="12">
        <f t="shared" ref="V112:V115" si="97">IF(T$12=0,0,T112/T$12)</f>
        <v>6.6678251253362728E-2</v>
      </c>
      <c r="W112" s="4"/>
      <c r="X112" s="4">
        <f t="shared" ref="X112:X115" si="98">+P112-T112</f>
        <v>129857.90000000002</v>
      </c>
      <c r="Y112" s="4"/>
      <c r="Z112" s="12">
        <f t="shared" ref="Z112:Z115" si="99">IF(T112=0,0,X112/T112)</f>
        <v>0.66226999184006541</v>
      </c>
    </row>
    <row r="113" spans="1:26" s="24" customFormat="1" hidden="1" outlineLevel="1" x14ac:dyDescent="0.25">
      <c r="A113" s="51"/>
      <c r="B113" s="11" t="str">
        <f>CONCATENATE("          ", "9150", " - ", "MISC. INCOME")</f>
        <v xml:space="preserve">          9150 - MISC. INCOME</v>
      </c>
      <c r="C113" s="11"/>
      <c r="D113" s="2">
        <f>-3618.29</f>
        <v>-3618.29</v>
      </c>
      <c r="E113" s="2"/>
      <c r="F113" s="22">
        <f t="shared" si="92"/>
        <v>-5.7950219337934171E-2</v>
      </c>
      <c r="G113" s="2"/>
      <c r="H113" s="2">
        <v>2500</v>
      </c>
      <c r="I113" s="2"/>
      <c r="J113" s="22">
        <f t="shared" si="93"/>
        <v>1.935239156855004E-2</v>
      </c>
      <c r="K113" s="2"/>
      <c r="L113" s="2">
        <f t="shared" si="94"/>
        <v>-6118.29</v>
      </c>
      <c r="M113" s="2"/>
      <c r="N113" s="22">
        <f t="shared" si="95"/>
        <v>-2.4473159999999998</v>
      </c>
      <c r="O113" s="11"/>
      <c r="P113" s="2">
        <f>--24713.75</f>
        <v>24713.75</v>
      </c>
      <c r="Q113" s="2"/>
      <c r="R113" s="22">
        <f t="shared" si="96"/>
        <v>1.3243717711111535E-2</v>
      </c>
      <c r="S113" s="2"/>
      <c r="T113" s="2">
        <v>25000</v>
      </c>
      <c r="U113" s="2"/>
      <c r="V113" s="22">
        <f t="shared" si="97"/>
        <v>8.5014090235315601E-3</v>
      </c>
      <c r="W113" s="2"/>
      <c r="X113" s="2">
        <f t="shared" si="98"/>
        <v>-286.25</v>
      </c>
      <c r="Y113" s="2"/>
      <c r="Z113" s="22">
        <f t="shared" si="99"/>
        <v>-1.145E-2</v>
      </c>
    </row>
    <row r="114" spans="1:26" s="24" customFormat="1" hidden="1" outlineLevel="1" x14ac:dyDescent="0.25">
      <c r="A114" s="51"/>
      <c r="B114" s="11" t="str">
        <f>CONCATENATE("          ", "9151", " - ", "MISC. INCOME")</f>
        <v xml:space="preserve">          9151 - MISC. INCOME</v>
      </c>
      <c r="C114" s="11"/>
      <c r="D114" s="2">
        <f>--148653.31</f>
        <v>148653.31</v>
      </c>
      <c r="E114" s="2"/>
      <c r="F114" s="22">
        <f t="shared" si="92"/>
        <v>2.3808185413026384</v>
      </c>
      <c r="G114" s="2"/>
      <c r="H114" s="2">
        <v>78821</v>
      </c>
      <c r="I114" s="2"/>
      <c r="J114" s="22">
        <f t="shared" si="93"/>
        <v>0.61014994232987307</v>
      </c>
      <c r="K114" s="2"/>
      <c r="L114" s="2">
        <f t="shared" si="94"/>
        <v>69832.31</v>
      </c>
      <c r="M114" s="2"/>
      <c r="N114" s="22">
        <f t="shared" si="95"/>
        <v>0.88596072112761826</v>
      </c>
      <c r="O114" s="11"/>
      <c r="P114" s="2">
        <f>--297910.7</f>
        <v>297910.7</v>
      </c>
      <c r="Q114" s="2"/>
      <c r="R114" s="22">
        <f t="shared" si="96"/>
        <v>0.15964575242201751</v>
      </c>
      <c r="S114" s="2"/>
      <c r="T114" s="2">
        <v>171080</v>
      </c>
      <c r="U114" s="2"/>
      <c r="V114" s="22">
        <f t="shared" si="97"/>
        <v>5.8176842229831174E-2</v>
      </c>
      <c r="W114" s="2"/>
      <c r="X114" s="2">
        <f t="shared" si="98"/>
        <v>126830.70000000001</v>
      </c>
      <c r="Y114" s="2"/>
      <c r="Z114" s="22">
        <f t="shared" si="99"/>
        <v>0.74135316810848728</v>
      </c>
    </row>
    <row r="115" spans="1:26" s="24" customFormat="1" hidden="1" outlineLevel="1" x14ac:dyDescent="0.25">
      <c r="A115" s="51"/>
      <c r="B115" s="11" t="str">
        <f>CONCATENATE("          ", "9152", " - ", "MISC. INCOME")</f>
        <v xml:space="preserve">          9152 - MISC. INCOME</v>
      </c>
      <c r="C115" s="11"/>
      <c r="D115" s="2">
        <f>--81.19</f>
        <v>81.19</v>
      </c>
      <c r="E115" s="2"/>
      <c r="F115" s="22">
        <f t="shared" si="92"/>
        <v>1.3003320098850216E-3</v>
      </c>
      <c r="G115" s="2"/>
      <c r="H115" s="2"/>
      <c r="I115" s="2"/>
      <c r="J115" s="22">
        <f t="shared" si="93"/>
        <v>0</v>
      </c>
      <c r="K115" s="2"/>
      <c r="L115" s="2">
        <f t="shared" si="94"/>
        <v>81.19</v>
      </c>
      <c r="M115" s="2"/>
      <c r="N115" s="22">
        <f t="shared" si="95"/>
        <v>0</v>
      </c>
      <c r="O115" s="11"/>
      <c r="P115" s="2">
        <f>--3313.45</f>
        <v>3313.45</v>
      </c>
      <c r="Q115" s="2"/>
      <c r="R115" s="22">
        <f t="shared" si="96"/>
        <v>1.7756267846798851E-3</v>
      </c>
      <c r="S115" s="2"/>
      <c r="T115" s="2"/>
      <c r="U115" s="2"/>
      <c r="V115" s="22">
        <f t="shared" si="97"/>
        <v>0</v>
      </c>
      <c r="W115" s="2"/>
      <c r="X115" s="2">
        <f t="shared" si="98"/>
        <v>3313.45</v>
      </c>
      <c r="Y115" s="2"/>
      <c r="Z115" s="22">
        <f t="shared" si="99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5" t="s">
        <v>3</v>
      </c>
      <c r="C117" s="25"/>
      <c r="D117" s="19">
        <f>+D52-D54+D112</f>
        <v>126327.46000000002</v>
      </c>
      <c r="E117" s="13"/>
      <c r="F117" s="21">
        <f>IF(D$12=0,0,D117/D$12)</f>
        <v>2.0232496608630339</v>
      </c>
      <c r="G117" s="13"/>
      <c r="H117" s="19">
        <f>+H52-H54+H112</f>
        <v>61911.838566388476</v>
      </c>
      <c r="I117" s="13"/>
      <c r="J117" s="21">
        <f>IF(H$12=0,0,H117/H$12)</f>
        <v>0.47925685706624305</v>
      </c>
      <c r="K117" s="15"/>
      <c r="L117" s="19">
        <f>+D117-H117</f>
        <v>64415.621433611544</v>
      </c>
      <c r="M117" s="15"/>
      <c r="N117" s="21">
        <f>IF(H117=0,0,L117/H117)</f>
        <v>1.0404411002031257</v>
      </c>
      <c r="O117" s="26"/>
      <c r="P117" s="19">
        <f>+P52-P54+P112</f>
        <v>508343.10999999958</v>
      </c>
      <c r="Q117" s="13"/>
      <c r="R117" s="21">
        <f>IF(P$12=0,0,P117/P$12)</f>
        <v>0.27241323753896163</v>
      </c>
      <c r="S117" s="13"/>
      <c r="T117" s="19">
        <f>+T52-T54+T112</f>
        <v>538553.70866946154</v>
      </c>
      <c r="U117" s="13"/>
      <c r="V117" s="21">
        <f>IF(T$12=0,0,T117/T$12)</f>
        <v>0.1831386143415579</v>
      </c>
      <c r="W117" s="15"/>
      <c r="X117" s="19">
        <f>+P117-T117</f>
        <v>-30210.598669461964</v>
      </c>
      <c r="Y117" s="15"/>
      <c r="Z117" s="21">
        <f>IF(T117=0,0,X117/T117)</f>
        <v>-5.6095795429762382E-2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2"/>
      <c r="B119" s="10" t="s">
        <v>14</v>
      </c>
      <c r="C119" s="10"/>
      <c r="D119" s="4">
        <v>42141.72</v>
      </c>
      <c r="E119" s="4"/>
      <c r="F119" s="12">
        <f>IF(D$12=0,0,D119/D$12)</f>
        <v>0.67493813853444784</v>
      </c>
      <c r="G119" s="4"/>
      <c r="H119" s="4">
        <v>17823</v>
      </c>
      <c r="I119" s="4"/>
      <c r="J119" s="12">
        <f>IF(H$12=0,0,H119/H$12)</f>
        <v>0.13796706997050695</v>
      </c>
      <c r="K119" s="4"/>
      <c r="L119" s="4">
        <f>+D119-H119</f>
        <v>24318.720000000001</v>
      </c>
      <c r="M119" s="4"/>
      <c r="N119" s="12">
        <f>IF(H119=0,0,L119/H119)</f>
        <v>1.3644571620939236</v>
      </c>
      <c r="O119" s="10"/>
      <c r="P119" s="4">
        <v>369549.29000000004</v>
      </c>
      <c r="Q119" s="4"/>
      <c r="R119" s="12">
        <f>IF(P$12=0,0,P119/P$12)</f>
        <v>0.19803576863493777</v>
      </c>
      <c r="S119" s="4"/>
      <c r="T119" s="4">
        <v>505737.00000000006</v>
      </c>
      <c r="U119" s="4"/>
      <c r="V119" s="12">
        <f>IF(T$12=0,0,T119/T$12)</f>
        <v>0.17197908381335125</v>
      </c>
      <c r="W119" s="4"/>
      <c r="X119" s="4">
        <f>+P119-T119</f>
        <v>-136187.71000000002</v>
      </c>
      <c r="Y119" s="4"/>
      <c r="Z119" s="12">
        <f>IF(T119=0,0,X119/T119)</f>
        <v>-0.26928563660558752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4</v>
      </c>
      <c r="C121" s="25"/>
      <c r="D121" s="34">
        <f>+D117-D119</f>
        <v>84185.74000000002</v>
      </c>
      <c r="E121" s="13"/>
      <c r="F121" s="30">
        <f>IF(D$12=0,0,D121/D$12)</f>
        <v>1.348311522328586</v>
      </c>
      <c r="G121" s="13"/>
      <c r="H121" s="34">
        <f>+H117-H119</f>
        <v>44088.838566388476</v>
      </c>
      <c r="I121" s="13"/>
      <c r="J121" s="30">
        <f>IF(H$12=0,0,H121/H$12)</f>
        <v>0.3412897870957361</v>
      </c>
      <c r="K121" s="15"/>
      <c r="L121" s="34">
        <f>D121-H121</f>
        <v>40096.901433611543</v>
      </c>
      <c r="M121" s="15"/>
      <c r="N121" s="30">
        <f>IF(H121=0,0,L121/H121)</f>
        <v>0.90945696773649598</v>
      </c>
      <c r="O121" s="26"/>
      <c r="P121" s="34">
        <f>+P117-P119</f>
        <v>138793.81999999954</v>
      </c>
      <c r="Q121" s="13"/>
      <c r="R121" s="30">
        <f>IF(P$12=0,0,P121/P$12)</f>
        <v>7.4377468904023886E-2</v>
      </c>
      <c r="S121" s="13"/>
      <c r="T121" s="34">
        <f>+T117-T119</f>
        <v>32816.708669461485</v>
      </c>
      <c r="U121" s="13"/>
      <c r="V121" s="30">
        <f>IF(T$12=0,0,T121/T$12)</f>
        <v>1.1159530528206649E-2</v>
      </c>
      <c r="W121" s="15"/>
      <c r="X121" s="34">
        <f>P121-T121</f>
        <v>105977.11133053806</v>
      </c>
      <c r="Y121" s="15"/>
      <c r="Z121" s="30">
        <f>IF(T121=0,0,X121/T121)</f>
        <v>3.2293644191429243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5</v>
      </c>
      <c r="C124" s="25"/>
      <c r="D124" s="35">
        <f>SUM(D121:D123)</f>
        <v>84185.74000000002</v>
      </c>
      <c r="E124" s="13"/>
      <c r="F124" s="31">
        <f>IF(D$12=0,0,D124/D$12)</f>
        <v>1.348311522328586</v>
      </c>
      <c r="G124" s="13"/>
      <c r="H124" s="35">
        <f>SUM(H121:H123)</f>
        <v>44088.838566388476</v>
      </c>
      <c r="I124" s="13"/>
      <c r="J124" s="31">
        <f>IF(H$12=0,0,H124/H$12)</f>
        <v>0.3412897870957361</v>
      </c>
      <c r="K124" s="15"/>
      <c r="L124" s="35">
        <f>+D124-H124</f>
        <v>40096.901433611543</v>
      </c>
      <c r="M124" s="15"/>
      <c r="N124" s="31">
        <f>IF(H124=0,0,L124/H124)</f>
        <v>0.90945696773649598</v>
      </c>
      <c r="O124" s="26"/>
      <c r="P124" s="35">
        <f>SUM(P121:P123)</f>
        <v>138793.81999999954</v>
      </c>
      <c r="Q124" s="13"/>
      <c r="R124" s="31">
        <f>IF(P$12=0,0,P124/P$12)</f>
        <v>7.4377468904023886E-2</v>
      </c>
      <c r="S124" s="13"/>
      <c r="T124" s="35">
        <f>SUM(T121:T123)</f>
        <v>32816.708669461485</v>
      </c>
      <c r="U124" s="13"/>
      <c r="V124" s="31">
        <f>IF(T$12=0,0,T124/T$12)</f>
        <v>1.1159530528206649E-2</v>
      </c>
      <c r="W124" s="15"/>
      <c r="X124" s="35">
        <f>+P124-T124</f>
        <v>105977.11133053806</v>
      </c>
      <c r="Y124" s="15"/>
      <c r="Z124" s="31">
        <f>IF(T124=0,0,X124/T124)</f>
        <v>3.2293644191429243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3">
        <v>44267.671790856482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62" t="s">
        <v>314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7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15645.23</v>
      </c>
      <c r="E12" s="4"/>
      <c r="F12" s="12"/>
      <c r="G12" s="4"/>
      <c r="H12" s="4">
        <f>SUM(OSRRefH13x_0)</f>
        <v>54448</v>
      </c>
      <c r="I12" s="4"/>
      <c r="J12" s="12"/>
      <c r="K12" s="4"/>
      <c r="L12" s="4">
        <f t="shared" ref="L12:L16" si="0">+D12-H12</f>
        <v>-38802.770000000004</v>
      </c>
      <c r="M12" s="4"/>
      <c r="N12" s="12">
        <f t="shared" ref="N12:N16" si="1">IF(H12=0,0,L12/H12)</f>
        <v>-0.71265739788421989</v>
      </c>
      <c r="O12" s="10"/>
      <c r="P12" s="4">
        <f>SUM(OSRRefP13x_0)</f>
        <v>772917</v>
      </c>
      <c r="Q12" s="4"/>
      <c r="R12" s="12"/>
      <c r="S12" s="4"/>
      <c r="T12" s="4">
        <f>SUM(OSRRefT13x_0)</f>
        <v>1412443</v>
      </c>
      <c r="U12" s="4"/>
      <c r="V12" s="12"/>
      <c r="W12" s="4"/>
      <c r="X12" s="4">
        <f t="shared" ref="X12:X16" si="2">+P12-T12</f>
        <v>-639526</v>
      </c>
      <c r="Y12" s="4"/>
      <c r="Z12" s="12">
        <f t="shared" ref="Z12:Z16" si="3">IF(T12=0,0,X12/T12)</f>
        <v>-0.45278004138928085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54448</v>
      </c>
      <c r="I13" s="2"/>
      <c r="J13" s="22"/>
      <c r="K13" s="2"/>
      <c r="L13" s="2">
        <f t="shared" si="0"/>
        <v>-54448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1412443</v>
      </c>
      <c r="U13" s="2"/>
      <c r="V13" s="22"/>
      <c r="W13" s="2"/>
      <c r="X13" s="2">
        <f t="shared" si="2"/>
        <v>-1412443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--6211.31</f>
        <v>6211.31</v>
      </c>
      <c r="E14" s="2"/>
      <c r="F14" s="22"/>
      <c r="G14" s="2"/>
      <c r="H14" s="2"/>
      <c r="I14" s="2"/>
      <c r="J14" s="22"/>
      <c r="K14" s="2"/>
      <c r="L14" s="2">
        <f t="shared" si="0"/>
        <v>6211.31</v>
      </c>
      <c r="M14" s="2"/>
      <c r="N14" s="22">
        <f t="shared" si="1"/>
        <v>0</v>
      </c>
      <c r="O14" s="11"/>
      <c r="P14" s="2">
        <f>--262705.93</f>
        <v>262705.93</v>
      </c>
      <c r="Q14" s="2"/>
      <c r="R14" s="22"/>
      <c r="S14" s="2"/>
      <c r="T14" s="2"/>
      <c r="U14" s="2"/>
      <c r="V14" s="22"/>
      <c r="W14" s="2"/>
      <c r="X14" s="2">
        <f t="shared" si="2"/>
        <v>262705.93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--3816.22</f>
        <v>3816.22</v>
      </c>
      <c r="E15" s="2"/>
      <c r="F15" s="22"/>
      <c r="G15" s="2"/>
      <c r="H15" s="2"/>
      <c r="I15" s="2"/>
      <c r="J15" s="22"/>
      <c r="K15" s="2"/>
      <c r="L15" s="2">
        <f t="shared" si="0"/>
        <v>3816.22</v>
      </c>
      <c r="M15" s="2"/>
      <c r="N15" s="22">
        <f t="shared" si="1"/>
        <v>0</v>
      </c>
      <c r="O15" s="11"/>
      <c r="P15" s="2">
        <f>--226037.51</f>
        <v>226037.51</v>
      </c>
      <c r="Q15" s="2"/>
      <c r="R15" s="22"/>
      <c r="S15" s="2"/>
      <c r="T15" s="2"/>
      <c r="U15" s="2"/>
      <c r="V15" s="22"/>
      <c r="W15" s="2"/>
      <c r="X15" s="2">
        <f t="shared" si="2"/>
        <v>226037.51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--5617.7</f>
        <v>5617.7</v>
      </c>
      <c r="E16" s="2"/>
      <c r="F16" s="22"/>
      <c r="G16" s="2"/>
      <c r="H16" s="2"/>
      <c r="I16" s="2"/>
      <c r="J16" s="22"/>
      <c r="K16" s="2"/>
      <c r="L16" s="2">
        <f t="shared" si="0"/>
        <v>5617.7</v>
      </c>
      <c r="M16" s="2"/>
      <c r="N16" s="22">
        <f t="shared" si="1"/>
        <v>0</v>
      </c>
      <c r="O16" s="11"/>
      <c r="P16" s="2">
        <f>--284173.56</f>
        <v>284173.56</v>
      </c>
      <c r="Q16" s="2"/>
      <c r="R16" s="22"/>
      <c r="S16" s="2"/>
      <c r="T16" s="2"/>
      <c r="U16" s="2"/>
      <c r="V16" s="22"/>
      <c r="W16" s="2"/>
      <c r="X16" s="2">
        <f t="shared" si="2"/>
        <v>284173.56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11974.380000000001</v>
      </c>
      <c r="E18" s="4"/>
      <c r="F18" s="12">
        <f t="shared" ref="F18:F21" si="4">IF(D$12=0,0,D18/D$12)</f>
        <v>0.76536938095508988</v>
      </c>
      <c r="G18" s="4"/>
      <c r="H18" s="4">
        <f>SUM(OSRRefH16x_0)</f>
        <v>39474</v>
      </c>
      <c r="I18" s="4"/>
      <c r="J18" s="12">
        <f t="shared" ref="J18:J21" si="5">IF(H$12=0,0,H18/H$12)</f>
        <v>0.7249853070819865</v>
      </c>
      <c r="K18" s="4"/>
      <c r="L18" s="4">
        <f t="shared" ref="L18:L21" si="6">+D18-H18</f>
        <v>-27499.62</v>
      </c>
      <c r="M18" s="4"/>
      <c r="N18" s="12">
        <f t="shared" ref="N18:N21" si="7">IF(H18=0,0,L18/H18)</f>
        <v>-0.69665146678826562</v>
      </c>
      <c r="O18" s="10"/>
      <c r="P18" s="4">
        <f>SUM(OSRRefP16x_0)</f>
        <v>542099.35</v>
      </c>
      <c r="Q18" s="4"/>
      <c r="R18" s="12">
        <f t="shared" ref="R18:R21" si="8">IF(P$12=0,0,P18/P$12)</f>
        <v>0.7013681287900253</v>
      </c>
      <c r="S18" s="4"/>
      <c r="T18" s="4">
        <f>SUM(OSRRefT16x_0)</f>
        <v>1026867.0000000001</v>
      </c>
      <c r="U18" s="4"/>
      <c r="V18" s="12">
        <f t="shared" ref="V18:V21" si="9">IF(T$12=0,0,T18/T$12)</f>
        <v>0.727014824669031</v>
      </c>
      <c r="W18" s="4"/>
      <c r="X18" s="4">
        <f t="shared" ref="X18:X21" si="10">+P18-T18</f>
        <v>-484767.65000000014</v>
      </c>
      <c r="Y18" s="4"/>
      <c r="Z18" s="12">
        <f t="shared" ref="Z18:Z21" si="11">IF(T18=0,0,X18/T18)</f>
        <v>-0.47208416474577536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39474</v>
      </c>
      <c r="I19" s="2"/>
      <c r="J19" s="22">
        <f t="shared" si="5"/>
        <v>0.7249853070819865</v>
      </c>
      <c r="K19" s="2"/>
      <c r="L19" s="2">
        <f t="shared" si="6"/>
        <v>-39474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1026867.0000000001</v>
      </c>
      <c r="U19" s="2"/>
      <c r="V19" s="22">
        <f t="shared" si="9"/>
        <v>0.727014824669031</v>
      </c>
      <c r="W19" s="2"/>
      <c r="X19" s="2">
        <f t="shared" si="10"/>
        <v>-1026867.0000000001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7393.74</v>
      </c>
      <c r="E20" s="2"/>
      <c r="F20" s="22">
        <f t="shared" si="4"/>
        <v>0.47258749152297536</v>
      </c>
      <c r="G20" s="2"/>
      <c r="H20" s="2"/>
      <c r="I20" s="2"/>
      <c r="J20" s="22">
        <f t="shared" si="5"/>
        <v>0</v>
      </c>
      <c r="K20" s="2"/>
      <c r="L20" s="2">
        <f t="shared" si="6"/>
        <v>7393.74</v>
      </c>
      <c r="M20" s="2"/>
      <c r="N20" s="22">
        <f t="shared" si="7"/>
        <v>0</v>
      </c>
      <c r="O20" s="11"/>
      <c r="P20" s="2">
        <v>300204.90000000002</v>
      </c>
      <c r="Q20" s="2"/>
      <c r="R20" s="22">
        <f t="shared" si="8"/>
        <v>0.38840509394928568</v>
      </c>
      <c r="S20" s="2"/>
      <c r="T20" s="2"/>
      <c r="U20" s="2"/>
      <c r="V20" s="22">
        <f t="shared" si="9"/>
        <v>0</v>
      </c>
      <c r="W20" s="2"/>
      <c r="X20" s="2">
        <f t="shared" si="10"/>
        <v>300204.90000000002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>
        <v>4580.6400000000003</v>
      </c>
      <c r="E21" s="2"/>
      <c r="F21" s="22">
        <f t="shared" si="4"/>
        <v>0.29278188943211447</v>
      </c>
      <c r="G21" s="2"/>
      <c r="H21" s="2"/>
      <c r="I21" s="2"/>
      <c r="J21" s="22">
        <f t="shared" si="5"/>
        <v>0</v>
      </c>
      <c r="K21" s="2"/>
      <c r="L21" s="2">
        <f t="shared" si="6"/>
        <v>4580.6400000000003</v>
      </c>
      <c r="M21" s="2"/>
      <c r="N21" s="22">
        <f t="shared" si="7"/>
        <v>0</v>
      </c>
      <c r="O21" s="11"/>
      <c r="P21" s="2">
        <v>241894.44999999998</v>
      </c>
      <c r="Q21" s="2"/>
      <c r="R21" s="22">
        <f t="shared" si="8"/>
        <v>0.31296303484073967</v>
      </c>
      <c r="S21" s="2"/>
      <c r="T21" s="2"/>
      <c r="U21" s="2"/>
      <c r="V21" s="22">
        <f t="shared" si="9"/>
        <v>0</v>
      </c>
      <c r="W21" s="2"/>
      <c r="X21" s="2">
        <f t="shared" si="10"/>
        <v>241894.44999999998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19">
        <f>D12-D18</f>
        <v>3670.8499999999985</v>
      </c>
      <c r="E23" s="13"/>
      <c r="F23" s="21">
        <f>IF(D$12=0,0,D23/D$12)</f>
        <v>0.23463061904491009</v>
      </c>
      <c r="G23" s="13"/>
      <c r="H23" s="19">
        <f>H12-H18</f>
        <v>14974</v>
      </c>
      <c r="I23" s="13"/>
      <c r="J23" s="21">
        <f>IF(H$12=0,0,H23/H$12)</f>
        <v>0.2750146929180135</v>
      </c>
      <c r="K23" s="15"/>
      <c r="L23" s="19">
        <f>+D23-H23</f>
        <v>-11303.150000000001</v>
      </c>
      <c r="M23" s="15"/>
      <c r="N23" s="21">
        <f>IF(H23=0,0,L23/H23)</f>
        <v>-0.75485174302123692</v>
      </c>
      <c r="O23" s="26"/>
      <c r="P23" s="19">
        <f>P12-P18</f>
        <v>230817.65000000002</v>
      </c>
      <c r="Q23" s="13"/>
      <c r="R23" s="21">
        <f>IF(P$12=0,0,P23/P$12)</f>
        <v>0.2986318712099747</v>
      </c>
      <c r="S23" s="13"/>
      <c r="T23" s="19">
        <f>T12-T18</f>
        <v>385575.99999999988</v>
      </c>
      <c r="U23" s="13"/>
      <c r="V23" s="21">
        <f>IF(T$12=0,0,T23/T$12)</f>
        <v>0.272985175330969</v>
      </c>
      <c r="W23" s="15"/>
      <c r="X23" s="19">
        <f>+P23-T23</f>
        <v>-154758.34999999986</v>
      </c>
      <c r="Y23" s="15"/>
      <c r="Z23" s="21">
        <f>IF(T23=0,0,X23/T23)</f>
        <v>-0.40136925016079816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0</v>
      </c>
      <c r="E25" s="20"/>
      <c r="F25" s="33">
        <f t="shared" ref="F25:F34" si="12">IF(D$12=0,0,D25/D$12)</f>
        <v>0</v>
      </c>
      <c r="G25" s="20"/>
      <c r="H25" s="20">
        <f>SUM(OSRRefH22x_0)</f>
        <v>0</v>
      </c>
      <c r="I25" s="20"/>
      <c r="J25" s="33">
        <f t="shared" ref="J25:J34" si="13">IF(H$12=0,0,H25/H$12)</f>
        <v>0</v>
      </c>
      <c r="K25" s="4"/>
      <c r="L25" s="20">
        <f t="shared" ref="L25:L34" si="14">+D25-H25</f>
        <v>0</v>
      </c>
      <c r="M25" s="4"/>
      <c r="N25" s="33">
        <f t="shared" ref="N25:N34" si="15">IF(H25=0,0,L25/H25)</f>
        <v>0</v>
      </c>
      <c r="O25" s="10"/>
      <c r="P25" s="20">
        <f>SUM(OSRRefP22x_0)</f>
        <v>0</v>
      </c>
      <c r="Q25" s="20"/>
      <c r="R25" s="33">
        <f t="shared" ref="R25:R34" si="16">IF(P$12=0,0,P25/P$12)</f>
        <v>0</v>
      </c>
      <c r="S25" s="20"/>
      <c r="T25" s="20">
        <f>SUM(OSRRefT22x_0)</f>
        <v>0</v>
      </c>
      <c r="U25" s="20"/>
      <c r="V25" s="33">
        <f t="shared" ref="V25:V34" si="17">IF(T$12=0,0,T25/T$12)</f>
        <v>0</v>
      </c>
      <c r="W25" s="4"/>
      <c r="X25" s="20">
        <f t="shared" ref="X25:X34" si="18">+P25-T25</f>
        <v>0</v>
      </c>
      <c r="Y25" s="4"/>
      <c r="Z25" s="33">
        <f t="shared" ref="Z25:Z34" si="19">IF(T25=0,0,X25/T25)</f>
        <v>0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8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58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3</v>
      </c>
      <c r="C49" s="25"/>
      <c r="D49" s="19">
        <f>+D23-D25+D47</f>
        <v>3670.8499999999985</v>
      </c>
      <c r="E49" s="13"/>
      <c r="F49" s="21">
        <f>IF(D$12=0,0,D49/D$12)</f>
        <v>0.23463061904491009</v>
      </c>
      <c r="G49" s="13"/>
      <c r="H49" s="19">
        <f>+H23-H25+H47</f>
        <v>14974</v>
      </c>
      <c r="I49" s="13"/>
      <c r="J49" s="21">
        <f>IF(H$12=0,0,H49/H$12)</f>
        <v>0.2750146929180135</v>
      </c>
      <c r="K49" s="15"/>
      <c r="L49" s="19">
        <f>+D49-H49</f>
        <v>-11303.150000000001</v>
      </c>
      <c r="M49" s="15"/>
      <c r="N49" s="21">
        <f>IF(H49=0,0,L49/H49)</f>
        <v>-0.75485174302123692</v>
      </c>
      <c r="O49" s="26"/>
      <c r="P49" s="19">
        <f>+P23-P25+P47</f>
        <v>230817.65000000002</v>
      </c>
      <c r="Q49" s="13"/>
      <c r="R49" s="21">
        <f>IF(P$12=0,0,P49/P$12)</f>
        <v>0.2986318712099747</v>
      </c>
      <c r="S49" s="13"/>
      <c r="T49" s="19">
        <f>+T23-T25+T47</f>
        <v>385575.99999999988</v>
      </c>
      <c r="U49" s="13"/>
      <c r="V49" s="21">
        <f>IF(T$12=0,0,T49/T$12)</f>
        <v>0.272985175330969</v>
      </c>
      <c r="W49" s="15"/>
      <c r="X49" s="19">
        <f>+P49-T49</f>
        <v>-154758.34999999986</v>
      </c>
      <c r="Y49" s="15"/>
      <c r="Z49" s="21">
        <f>IF(T49=0,0,X49/T49)</f>
        <v>-0.40136925016079816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14</v>
      </c>
      <c r="C51" s="10"/>
      <c r="D51" s="4">
        <v>15600.350000000002</v>
      </c>
      <c r="E51" s="4"/>
      <c r="F51" s="12">
        <f>IF(D$12=0,0,D51/D$12)</f>
        <v>0.99713139404150675</v>
      </c>
      <c r="G51" s="4"/>
      <c r="H51" s="4">
        <v>7242</v>
      </c>
      <c r="I51" s="4"/>
      <c r="J51" s="12">
        <f>IF(H$12=0,0,H51/H$12)</f>
        <v>0.13300764031736703</v>
      </c>
      <c r="K51" s="4"/>
      <c r="L51" s="4">
        <f>+D51-H51</f>
        <v>8358.3500000000022</v>
      </c>
      <c r="M51" s="4"/>
      <c r="N51" s="12">
        <f>IF(H51=0,0,L51/H51)</f>
        <v>1.1541494062413702</v>
      </c>
      <c r="O51" s="10"/>
      <c r="P51" s="4">
        <v>153065.21</v>
      </c>
      <c r="Q51" s="4"/>
      <c r="R51" s="12">
        <f>IF(P$12=0,0,P51/P$12)</f>
        <v>0.19803576580667781</v>
      </c>
      <c r="S51" s="4"/>
      <c r="T51" s="4">
        <v>242911</v>
      </c>
      <c r="U51" s="4"/>
      <c r="V51" s="12">
        <f>IF(T$12=0,0,T51/T$12)</f>
        <v>0.17197932943134697</v>
      </c>
      <c r="W51" s="4"/>
      <c r="X51" s="4">
        <f>+P51-T51</f>
        <v>-89845.790000000008</v>
      </c>
      <c r="Y51" s="4"/>
      <c r="Z51" s="12">
        <f>IF(T51=0,0,X51/T51)</f>
        <v>-0.36987122855696125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4</v>
      </c>
      <c r="C53" s="25"/>
      <c r="D53" s="34">
        <f>+D49-D51</f>
        <v>-11929.500000000004</v>
      </c>
      <c r="E53" s="13"/>
      <c r="F53" s="30">
        <f>IF(D$12=0,0,D53/D$12)</f>
        <v>-0.76250077499659663</v>
      </c>
      <c r="G53" s="13"/>
      <c r="H53" s="34">
        <f>+H49-H51</f>
        <v>7732</v>
      </c>
      <c r="I53" s="13"/>
      <c r="J53" s="30">
        <f>IF(H$12=0,0,H53/H$12)</f>
        <v>0.1420070526006465</v>
      </c>
      <c r="K53" s="15"/>
      <c r="L53" s="34">
        <f>D53-H53</f>
        <v>-19661.500000000004</v>
      </c>
      <c r="M53" s="15"/>
      <c r="N53" s="30">
        <f>IF(H53=0,0,L53/H53)</f>
        <v>-2.5428737713398868</v>
      </c>
      <c r="O53" s="26"/>
      <c r="P53" s="34">
        <f>+P49-P51</f>
        <v>77752.440000000031</v>
      </c>
      <c r="Q53" s="13"/>
      <c r="R53" s="30">
        <f>IF(P$12=0,0,P53/P$12)</f>
        <v>0.1005961054032969</v>
      </c>
      <c r="S53" s="13"/>
      <c r="T53" s="34">
        <f>+T49-T51</f>
        <v>142664.99999999988</v>
      </c>
      <c r="U53" s="13"/>
      <c r="V53" s="30">
        <f>IF(T$12=0,0,T53/T$12)</f>
        <v>0.10100584589962207</v>
      </c>
      <c r="W53" s="15"/>
      <c r="X53" s="34">
        <f>P53-T53</f>
        <v>-64912.559999999852</v>
      </c>
      <c r="Y53" s="15"/>
      <c r="Z53" s="30">
        <f>IF(T53=0,0,X53/T53)</f>
        <v>-0.45499989485858411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5</v>
      </c>
      <c r="C56" s="25"/>
      <c r="D56" s="35">
        <f>SUM(D53:D55)</f>
        <v>-11929.500000000004</v>
      </c>
      <c r="E56" s="13"/>
      <c r="F56" s="31">
        <f>IF(D$12=0,0,D56/D$12)</f>
        <v>-0.76250077499659663</v>
      </c>
      <c r="G56" s="13"/>
      <c r="H56" s="35">
        <f>SUM(H53:H55)</f>
        <v>7732</v>
      </c>
      <c r="I56" s="13"/>
      <c r="J56" s="31">
        <f>IF(H$12=0,0,H56/H$12)</f>
        <v>0.1420070526006465</v>
      </c>
      <c r="K56" s="15"/>
      <c r="L56" s="35">
        <f>+D56-H56</f>
        <v>-19661.500000000004</v>
      </c>
      <c r="M56" s="15"/>
      <c r="N56" s="31">
        <f>IF(H56=0,0,L56/H56)</f>
        <v>-2.5428737713398868</v>
      </c>
      <c r="O56" s="26"/>
      <c r="P56" s="35">
        <f>SUM(P53:P55)</f>
        <v>77752.440000000031</v>
      </c>
      <c r="Q56" s="13"/>
      <c r="R56" s="31">
        <f>IF(P$12=0,0,P56/P$12)</f>
        <v>0.1005961054032969</v>
      </c>
      <c r="S56" s="13"/>
      <c r="T56" s="35">
        <f>SUM(T53:T55)</f>
        <v>142664.99999999988</v>
      </c>
      <c r="U56" s="13"/>
      <c r="V56" s="31">
        <f>IF(T$12=0,0,T56/T$12)</f>
        <v>0.10100584589962207</v>
      </c>
      <c r="W56" s="15"/>
      <c r="X56" s="35">
        <f>+P56-T56</f>
        <v>-64912.559999999852</v>
      </c>
      <c r="Y56" s="15"/>
      <c r="Z56" s="31">
        <f>IF(T56=0,0,X56/T56)</f>
        <v>-0.45499989485858411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3">
        <v>44267.671952199074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62" t="s">
        <v>314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7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120315.20999999999</v>
      </c>
      <c r="E12" s="4"/>
      <c r="F12" s="12"/>
      <c r="G12" s="4"/>
      <c r="H12" s="4">
        <f>SUM(OSRRefH13x_0)</f>
        <v>400633</v>
      </c>
      <c r="I12" s="4"/>
      <c r="J12" s="12"/>
      <c r="K12" s="4"/>
      <c r="L12" s="4">
        <f t="shared" ref="L12:L50" si="0">+D12-H12</f>
        <v>-280317.79000000004</v>
      </c>
      <c r="M12" s="4"/>
      <c r="N12" s="12">
        <f t="shared" ref="N12:N50" si="1">IF(H12=0,0,L12/H12)</f>
        <v>-0.69968721997439065</v>
      </c>
      <c r="O12" s="10"/>
      <c r="P12" s="4">
        <f>SUM(OSRRefP13x_0)</f>
        <v>1311128.1399999999</v>
      </c>
      <c r="Q12" s="4"/>
      <c r="R12" s="12"/>
      <c r="S12" s="4"/>
      <c r="T12" s="4">
        <f>SUM(OSRRefT13x_0)</f>
        <v>2571742</v>
      </c>
      <c r="U12" s="4"/>
      <c r="V12" s="12"/>
      <c r="W12" s="4"/>
      <c r="X12" s="4">
        <f t="shared" ref="X12:X50" si="2">+P12-T12</f>
        <v>-1260613.8600000001</v>
      </c>
      <c r="Y12" s="4"/>
      <c r="Z12" s="12">
        <f t="shared" ref="Z12:Z50" si="3">IF(T12=0,0,X12/T12)</f>
        <v>-0.49017897596259657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-7056.82</f>
        <v>-7056.82</v>
      </c>
      <c r="E13" s="2"/>
      <c r="F13" s="22"/>
      <c r="G13" s="2"/>
      <c r="H13" s="2">
        <v>400633</v>
      </c>
      <c r="I13" s="2"/>
      <c r="J13" s="22"/>
      <c r="K13" s="2"/>
      <c r="L13" s="2">
        <f t="shared" si="0"/>
        <v>-407689.82</v>
      </c>
      <c r="M13" s="2"/>
      <c r="N13" s="22">
        <f t="shared" si="1"/>
        <v>-1.017614175567165</v>
      </c>
      <c r="O13" s="11"/>
      <c r="P13" s="2">
        <f>-99198.1</f>
        <v>-99198.1</v>
      </c>
      <c r="Q13" s="2"/>
      <c r="R13" s="22"/>
      <c r="S13" s="2"/>
      <c r="T13" s="2">
        <v>2571742</v>
      </c>
      <c r="U13" s="2"/>
      <c r="V13" s="22"/>
      <c r="W13" s="2"/>
      <c r="X13" s="2">
        <f t="shared" si="2"/>
        <v>-2670940.1</v>
      </c>
      <c r="Y13" s="2"/>
      <c r="Z13" s="22">
        <f t="shared" si="3"/>
        <v>-1.0385723373495475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--41.38</f>
        <v>41.38</v>
      </c>
      <c r="E14" s="2"/>
      <c r="F14" s="22"/>
      <c r="G14" s="2"/>
      <c r="H14" s="2"/>
      <c r="I14" s="2"/>
      <c r="J14" s="22"/>
      <c r="K14" s="2"/>
      <c r="L14" s="2">
        <f t="shared" si="0"/>
        <v>41.38</v>
      </c>
      <c r="M14" s="2"/>
      <c r="N14" s="22">
        <f t="shared" si="1"/>
        <v>0</v>
      </c>
      <c r="O14" s="11"/>
      <c r="P14" s="2">
        <f>--430.87</f>
        <v>430.87</v>
      </c>
      <c r="Q14" s="2"/>
      <c r="R14" s="22"/>
      <c r="S14" s="2"/>
      <c r="T14" s="2"/>
      <c r="U14" s="2"/>
      <c r="V14" s="22"/>
      <c r="W14" s="2"/>
      <c r="X14" s="2">
        <f t="shared" si="2"/>
        <v>430.87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--5808.1</f>
        <v>5808.1</v>
      </c>
      <c r="E15" s="2"/>
      <c r="F15" s="22"/>
      <c r="G15" s="2"/>
      <c r="H15" s="2"/>
      <c r="I15" s="2"/>
      <c r="J15" s="22"/>
      <c r="K15" s="2"/>
      <c r="L15" s="2">
        <f t="shared" si="0"/>
        <v>5808.1</v>
      </c>
      <c r="M15" s="2"/>
      <c r="N15" s="22">
        <f t="shared" si="1"/>
        <v>0</v>
      </c>
      <c r="O15" s="11"/>
      <c r="P15" s="2">
        <f>--46494</f>
        <v>46494</v>
      </c>
      <c r="Q15" s="2"/>
      <c r="R15" s="22"/>
      <c r="S15" s="2"/>
      <c r="T15" s="2"/>
      <c r="U15" s="2"/>
      <c r="V15" s="22"/>
      <c r="W15" s="2"/>
      <c r="X15" s="2">
        <f t="shared" si="2"/>
        <v>46494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--1924.8</f>
        <v>1924.8</v>
      </c>
      <c r="E16" s="2"/>
      <c r="F16" s="22"/>
      <c r="G16" s="2"/>
      <c r="H16" s="2"/>
      <c r="I16" s="2"/>
      <c r="J16" s="22"/>
      <c r="K16" s="2"/>
      <c r="L16" s="2">
        <f t="shared" si="0"/>
        <v>1924.8</v>
      </c>
      <c r="M16" s="2"/>
      <c r="N16" s="22">
        <f t="shared" si="1"/>
        <v>0</v>
      </c>
      <c r="O16" s="11"/>
      <c r="P16" s="2">
        <f>--28397.57</f>
        <v>28397.57</v>
      </c>
      <c r="Q16" s="2"/>
      <c r="R16" s="22"/>
      <c r="S16" s="2"/>
      <c r="T16" s="2"/>
      <c r="U16" s="2"/>
      <c r="V16" s="22"/>
      <c r="W16" s="2"/>
      <c r="X16" s="2">
        <f t="shared" si="2"/>
        <v>28397.57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--593.6</f>
        <v>593.6</v>
      </c>
      <c r="E17" s="2"/>
      <c r="F17" s="22"/>
      <c r="G17" s="2"/>
      <c r="H17" s="2"/>
      <c r="I17" s="2"/>
      <c r="J17" s="22"/>
      <c r="K17" s="2"/>
      <c r="L17" s="2">
        <f t="shared" si="0"/>
        <v>593.6</v>
      </c>
      <c r="M17" s="2"/>
      <c r="N17" s="22">
        <f t="shared" si="1"/>
        <v>0</v>
      </c>
      <c r="O17" s="11"/>
      <c r="P17" s="2">
        <f>--2806.29</f>
        <v>2806.29</v>
      </c>
      <c r="Q17" s="2"/>
      <c r="R17" s="22"/>
      <c r="S17" s="2"/>
      <c r="T17" s="2"/>
      <c r="U17" s="2"/>
      <c r="V17" s="22"/>
      <c r="W17" s="2"/>
      <c r="X17" s="2">
        <f t="shared" si="2"/>
        <v>2806.29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--73245.08</f>
        <v>73245.08</v>
      </c>
      <c r="E19" s="2"/>
      <c r="F19" s="22"/>
      <c r="G19" s="2"/>
      <c r="H19" s="2"/>
      <c r="I19" s="2"/>
      <c r="J19" s="22"/>
      <c r="K19" s="2"/>
      <c r="L19" s="2">
        <f t="shared" si="0"/>
        <v>73245.08</v>
      </c>
      <c r="M19" s="2"/>
      <c r="N19" s="22">
        <f t="shared" si="1"/>
        <v>0</v>
      </c>
      <c r="O19" s="11"/>
      <c r="P19" s="2">
        <f>--671347.98</f>
        <v>671347.98</v>
      </c>
      <c r="Q19" s="2"/>
      <c r="R19" s="22"/>
      <c r="S19" s="2"/>
      <c r="T19" s="2"/>
      <c r="U19" s="2"/>
      <c r="V19" s="22"/>
      <c r="W19" s="2"/>
      <c r="X19" s="2">
        <f t="shared" si="2"/>
        <v>671347.98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--23539.79</f>
        <v>23539.79</v>
      </c>
      <c r="E20" s="2"/>
      <c r="F20" s="22"/>
      <c r="G20" s="2"/>
      <c r="H20" s="2"/>
      <c r="I20" s="2"/>
      <c r="J20" s="22"/>
      <c r="K20" s="2"/>
      <c r="L20" s="2">
        <f t="shared" si="0"/>
        <v>23539.79</v>
      </c>
      <c r="M20" s="2"/>
      <c r="N20" s="22">
        <f t="shared" si="1"/>
        <v>0</v>
      </c>
      <c r="O20" s="11"/>
      <c r="P20" s="2">
        <f>--184133.09</f>
        <v>184133.09</v>
      </c>
      <c r="Q20" s="2"/>
      <c r="R20" s="22"/>
      <c r="S20" s="2"/>
      <c r="T20" s="2"/>
      <c r="U20" s="2"/>
      <c r="V20" s="22"/>
      <c r="W20" s="2"/>
      <c r="X20" s="2">
        <f t="shared" si="2"/>
        <v>184133.09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--4190.99</f>
        <v>4190.99</v>
      </c>
      <c r="E21" s="2"/>
      <c r="F21" s="22"/>
      <c r="G21" s="2"/>
      <c r="H21" s="2"/>
      <c r="I21" s="2"/>
      <c r="J21" s="22"/>
      <c r="K21" s="2"/>
      <c r="L21" s="2">
        <f t="shared" si="0"/>
        <v>4190.99</v>
      </c>
      <c r="M21" s="2"/>
      <c r="N21" s="22">
        <f t="shared" si="1"/>
        <v>0</v>
      </c>
      <c r="O21" s="11"/>
      <c r="P21" s="2">
        <f>--63846.29</f>
        <v>63846.29</v>
      </c>
      <c r="Q21" s="2"/>
      <c r="R21" s="22"/>
      <c r="S21" s="2"/>
      <c r="T21" s="2"/>
      <c r="U21" s="2"/>
      <c r="V21" s="22"/>
      <c r="W21" s="2"/>
      <c r="X21" s="2">
        <f t="shared" si="2"/>
        <v>63846.29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--6192.38</f>
        <v>6192.38</v>
      </c>
      <c r="E22" s="2"/>
      <c r="F22" s="22"/>
      <c r="G22" s="2"/>
      <c r="H22" s="2"/>
      <c r="I22" s="2"/>
      <c r="J22" s="22"/>
      <c r="K22" s="2"/>
      <c r="L22" s="2">
        <f t="shared" si="0"/>
        <v>6192.38</v>
      </c>
      <c r="M22" s="2"/>
      <c r="N22" s="22">
        <f t="shared" si="1"/>
        <v>0</v>
      </c>
      <c r="O22" s="11"/>
      <c r="P22" s="2">
        <f>--124112.88</f>
        <v>124112.88</v>
      </c>
      <c r="Q22" s="2"/>
      <c r="R22" s="22"/>
      <c r="S22" s="2"/>
      <c r="T22" s="2"/>
      <c r="U22" s="2"/>
      <c r="V22" s="22"/>
      <c r="W22" s="2"/>
      <c r="X22" s="2">
        <f t="shared" si="2"/>
        <v>124112.88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--2036.78</f>
        <v>2036.78</v>
      </c>
      <c r="E23" s="2"/>
      <c r="F23" s="22"/>
      <c r="G23" s="2"/>
      <c r="H23" s="2"/>
      <c r="I23" s="2"/>
      <c r="J23" s="22"/>
      <c r="K23" s="2"/>
      <c r="L23" s="2">
        <f t="shared" si="0"/>
        <v>2036.78</v>
      </c>
      <c r="M23" s="2"/>
      <c r="N23" s="22">
        <f t="shared" si="1"/>
        <v>0</v>
      </c>
      <c r="O23" s="11"/>
      <c r="P23" s="2">
        <f>--29572.4</f>
        <v>29572.400000000001</v>
      </c>
      <c r="Q23" s="2"/>
      <c r="R23" s="22"/>
      <c r="S23" s="2"/>
      <c r="T23" s="2"/>
      <c r="U23" s="2"/>
      <c r="V23" s="22"/>
      <c r="W23" s="2"/>
      <c r="X23" s="2">
        <f t="shared" si="2"/>
        <v>29572.400000000001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--10039.9</f>
        <v>10039.9</v>
      </c>
      <c r="E24" s="2"/>
      <c r="F24" s="22"/>
      <c r="G24" s="2"/>
      <c r="H24" s="2"/>
      <c r="I24" s="2"/>
      <c r="J24" s="22"/>
      <c r="K24" s="2"/>
      <c r="L24" s="2">
        <f t="shared" si="0"/>
        <v>10039.9</v>
      </c>
      <c r="M24" s="2"/>
      <c r="N24" s="22">
        <f t="shared" si="1"/>
        <v>0</v>
      </c>
      <c r="O24" s="11"/>
      <c r="P24" s="2">
        <f>--135489.57</f>
        <v>135489.57</v>
      </c>
      <c r="Q24" s="2"/>
      <c r="R24" s="22"/>
      <c r="S24" s="2"/>
      <c r="T24" s="2"/>
      <c r="U24" s="2"/>
      <c r="V24" s="22"/>
      <c r="W24" s="2"/>
      <c r="X24" s="2">
        <f t="shared" si="2"/>
        <v>135489.57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--472.19</f>
        <v>472.19</v>
      </c>
      <c r="E26" s="2"/>
      <c r="F26" s="22"/>
      <c r="G26" s="2"/>
      <c r="H26" s="2"/>
      <c r="I26" s="2"/>
      <c r="J26" s="22"/>
      <c r="K26" s="2"/>
      <c r="L26" s="2">
        <f t="shared" si="0"/>
        <v>472.19</v>
      </c>
      <c r="M26" s="2"/>
      <c r="N26" s="22">
        <f t="shared" si="1"/>
        <v>0</v>
      </c>
      <c r="O26" s="11"/>
      <c r="P26" s="2">
        <f>--6217.36</f>
        <v>6217.36</v>
      </c>
      <c r="Q26" s="2"/>
      <c r="R26" s="22"/>
      <c r="S26" s="2"/>
      <c r="T26" s="2"/>
      <c r="U26" s="2"/>
      <c r="V26" s="22"/>
      <c r="W26" s="2"/>
      <c r="X26" s="2">
        <f t="shared" si="2"/>
        <v>6217.36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--9.08</f>
        <v>9.08</v>
      </c>
      <c r="E27" s="2"/>
      <c r="F27" s="22"/>
      <c r="G27" s="2"/>
      <c r="H27" s="2"/>
      <c r="I27" s="2"/>
      <c r="J27" s="22"/>
      <c r="K27" s="2"/>
      <c r="L27" s="2">
        <f t="shared" si="0"/>
        <v>9.08</v>
      </c>
      <c r="M27" s="2"/>
      <c r="N27" s="22">
        <f t="shared" si="1"/>
        <v>0</v>
      </c>
      <c r="O27" s="11"/>
      <c r="P27" s="2">
        <f>--38.58</f>
        <v>38.58</v>
      </c>
      <c r="Q27" s="2"/>
      <c r="R27" s="22"/>
      <c r="S27" s="2"/>
      <c r="T27" s="2"/>
      <c r="U27" s="2"/>
      <c r="V27" s="22"/>
      <c r="W27" s="2"/>
      <c r="X27" s="2">
        <f t="shared" si="2"/>
        <v>38.58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--934.88</f>
        <v>934.88</v>
      </c>
      <c r="E28" s="2"/>
      <c r="F28" s="22"/>
      <c r="G28" s="2"/>
      <c r="H28" s="2"/>
      <c r="I28" s="2"/>
      <c r="J28" s="22"/>
      <c r="K28" s="2"/>
      <c r="L28" s="2">
        <f t="shared" si="0"/>
        <v>934.88</v>
      </c>
      <c r="M28" s="2"/>
      <c r="N28" s="22">
        <f t="shared" si="1"/>
        <v>0</v>
      </c>
      <c r="O28" s="11"/>
      <c r="P28" s="2">
        <f>--7727.99</f>
        <v>7727.99</v>
      </c>
      <c r="Q28" s="2"/>
      <c r="R28" s="22"/>
      <c r="S28" s="2"/>
      <c r="T28" s="2"/>
      <c r="U28" s="2"/>
      <c r="V28" s="22"/>
      <c r="W28" s="2"/>
      <c r="X28" s="2">
        <f t="shared" si="2"/>
        <v>7727.99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--68.25</f>
        <v>68.25</v>
      </c>
      <c r="Q32" s="2"/>
      <c r="R32" s="22"/>
      <c r="S32" s="2"/>
      <c r="T32" s="2"/>
      <c r="U32" s="2"/>
      <c r="V32" s="22"/>
      <c r="W32" s="2"/>
      <c r="X32" s="2">
        <f t="shared" si="2"/>
        <v>68.25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--1947.86</f>
        <v>1947.86</v>
      </c>
      <c r="E33" s="2"/>
      <c r="F33" s="22"/>
      <c r="G33" s="2"/>
      <c r="H33" s="2"/>
      <c r="I33" s="2"/>
      <c r="J33" s="22"/>
      <c r="K33" s="2"/>
      <c r="L33" s="2">
        <f t="shared" si="0"/>
        <v>1947.86</v>
      </c>
      <c r="M33" s="2"/>
      <c r="N33" s="22">
        <f t="shared" si="1"/>
        <v>0</v>
      </c>
      <c r="O33" s="11"/>
      <c r="P33" s="2">
        <f>--115125.28</f>
        <v>115125.28</v>
      </c>
      <c r="Q33" s="2"/>
      <c r="R33" s="22"/>
      <c r="S33" s="2"/>
      <c r="T33" s="2"/>
      <c r="U33" s="2"/>
      <c r="V33" s="22"/>
      <c r="W33" s="2"/>
      <c r="X33" s="2">
        <f t="shared" si="2"/>
        <v>115125.28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--620.86</f>
        <v>620.86</v>
      </c>
      <c r="E34" s="2"/>
      <c r="F34" s="22"/>
      <c r="G34" s="2"/>
      <c r="H34" s="2"/>
      <c r="I34" s="2"/>
      <c r="J34" s="22"/>
      <c r="K34" s="2"/>
      <c r="L34" s="2">
        <f t="shared" si="0"/>
        <v>620.86</v>
      </c>
      <c r="M34" s="2"/>
      <c r="N34" s="22">
        <f t="shared" si="1"/>
        <v>0</v>
      </c>
      <c r="O34" s="11"/>
      <c r="P34" s="2">
        <f>--7234.38</f>
        <v>7234.38</v>
      </c>
      <c r="Q34" s="2"/>
      <c r="R34" s="22"/>
      <c r="S34" s="2"/>
      <c r="T34" s="2"/>
      <c r="U34" s="2"/>
      <c r="V34" s="22"/>
      <c r="W34" s="2"/>
      <c r="X34" s="2">
        <f t="shared" si="2"/>
        <v>7234.38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--4.58</f>
        <v>4.58</v>
      </c>
      <c r="E35" s="2"/>
      <c r="F35" s="22"/>
      <c r="G35" s="2"/>
      <c r="H35" s="2"/>
      <c r="I35" s="2"/>
      <c r="J35" s="22"/>
      <c r="K35" s="2"/>
      <c r="L35" s="2">
        <f t="shared" si="0"/>
        <v>4.58</v>
      </c>
      <c r="M35" s="2"/>
      <c r="N35" s="22">
        <f t="shared" si="1"/>
        <v>0</v>
      </c>
      <c r="O35" s="11"/>
      <c r="P35" s="2">
        <f>--1153.88</f>
        <v>1153.8800000000001</v>
      </c>
      <c r="Q35" s="2"/>
      <c r="R35" s="22"/>
      <c r="S35" s="2"/>
      <c r="T35" s="2"/>
      <c r="U35" s="2"/>
      <c r="V35" s="22"/>
      <c r="W35" s="2"/>
      <c r="X35" s="2">
        <f t="shared" si="2"/>
        <v>1153.8800000000001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--149.92</f>
        <v>149.91999999999999</v>
      </c>
      <c r="E36" s="2"/>
      <c r="F36" s="22"/>
      <c r="G36" s="2"/>
      <c r="H36" s="2"/>
      <c r="I36" s="2"/>
      <c r="J36" s="22"/>
      <c r="K36" s="2"/>
      <c r="L36" s="2">
        <f t="shared" si="0"/>
        <v>149.91999999999999</v>
      </c>
      <c r="M36" s="2"/>
      <c r="N36" s="22">
        <f t="shared" si="1"/>
        <v>0</v>
      </c>
      <c r="O36" s="11"/>
      <c r="P36" s="2">
        <f>--2119.66</f>
        <v>2119.66</v>
      </c>
      <c r="Q36" s="2"/>
      <c r="R36" s="22"/>
      <c r="S36" s="2"/>
      <c r="T36" s="2"/>
      <c r="U36" s="2"/>
      <c r="V36" s="22"/>
      <c r="W36" s="2"/>
      <c r="X36" s="2">
        <f t="shared" si="2"/>
        <v>2119.66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--39.95</f>
        <v>39.950000000000003</v>
      </c>
      <c r="E37" s="2"/>
      <c r="F37" s="22"/>
      <c r="G37" s="2"/>
      <c r="H37" s="2"/>
      <c r="I37" s="2"/>
      <c r="J37" s="22"/>
      <c r="K37" s="2"/>
      <c r="L37" s="2">
        <f t="shared" si="0"/>
        <v>39.950000000000003</v>
      </c>
      <c r="M37" s="2"/>
      <c r="N37" s="22">
        <f t="shared" si="1"/>
        <v>0</v>
      </c>
      <c r="O37" s="11"/>
      <c r="P37" s="2">
        <f>--649.35</f>
        <v>649.35</v>
      </c>
      <c r="Q37" s="2"/>
      <c r="R37" s="22"/>
      <c r="S37" s="2"/>
      <c r="T37" s="2"/>
      <c r="U37" s="2"/>
      <c r="V37" s="22"/>
      <c r="W37" s="2"/>
      <c r="X37" s="2">
        <f t="shared" si="2"/>
        <v>649.35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5"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--53716.09</f>
        <v>53716.09</v>
      </c>
      <c r="Q38" s="2"/>
      <c r="R38" s="22"/>
      <c r="S38" s="2"/>
      <c r="T38" s="2"/>
      <c r="U38" s="2"/>
      <c r="V38" s="22"/>
      <c r="W38" s="2"/>
      <c r="X38" s="2">
        <f t="shared" si="2"/>
        <v>53716.09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5"/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-34.23</f>
        <v>-34.229999999999997</v>
      </c>
      <c r="Q39" s="2"/>
      <c r="R39" s="22"/>
      <c r="S39" s="2"/>
      <c r="T39" s="2"/>
      <c r="U39" s="2"/>
      <c r="V39" s="22"/>
      <c r="W39" s="2"/>
      <c r="X39" s="2">
        <f t="shared" si="2"/>
        <v>-34.229999999999997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-19.05</f>
        <v>-19.05</v>
      </c>
      <c r="E40" s="2"/>
      <c r="F40" s="22"/>
      <c r="G40" s="2"/>
      <c r="H40" s="2"/>
      <c r="I40" s="2"/>
      <c r="J40" s="22"/>
      <c r="K40" s="2"/>
      <c r="L40" s="2">
        <f t="shared" si="0"/>
        <v>-19.05</v>
      </c>
      <c r="M40" s="2"/>
      <c r="N40" s="22">
        <f t="shared" si="1"/>
        <v>0</v>
      </c>
      <c r="O40" s="11"/>
      <c r="P40" s="2">
        <f>-621.76</f>
        <v>-621.76</v>
      </c>
      <c r="Q40" s="2"/>
      <c r="R40" s="22"/>
      <c r="S40" s="2"/>
      <c r="T40" s="2"/>
      <c r="U40" s="2"/>
      <c r="V40" s="22"/>
      <c r="W40" s="2"/>
      <c r="X40" s="2">
        <f t="shared" si="2"/>
        <v>-621.76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-10.71</f>
        <v>-10.71</v>
      </c>
      <c r="E41" s="2"/>
      <c r="F41" s="22"/>
      <c r="G41" s="2"/>
      <c r="H41" s="2"/>
      <c r="I41" s="2"/>
      <c r="J41" s="22"/>
      <c r="K41" s="2"/>
      <c r="L41" s="2">
        <f t="shared" si="0"/>
        <v>-10.71</v>
      </c>
      <c r="M41" s="2"/>
      <c r="N41" s="22">
        <f t="shared" si="1"/>
        <v>0</v>
      </c>
      <c r="O41" s="11"/>
      <c r="P41" s="2">
        <f>-12517.04</f>
        <v>-12517.04</v>
      </c>
      <c r="Q41" s="2"/>
      <c r="R41" s="22"/>
      <c r="S41" s="2"/>
      <c r="T41" s="2"/>
      <c r="U41" s="2"/>
      <c r="V41" s="22"/>
      <c r="W41" s="2"/>
      <c r="X41" s="2">
        <f t="shared" si="2"/>
        <v>-12517.04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-3542.64</f>
        <v>-3542.64</v>
      </c>
      <c r="E42" s="2"/>
      <c r="F42" s="22"/>
      <c r="G42" s="2"/>
      <c r="H42" s="2"/>
      <c r="I42" s="2"/>
      <c r="J42" s="22"/>
      <c r="K42" s="2"/>
      <c r="L42" s="2">
        <f t="shared" si="0"/>
        <v>-3542.64</v>
      </c>
      <c r="M42" s="2"/>
      <c r="N42" s="22">
        <f t="shared" si="1"/>
        <v>0</v>
      </c>
      <c r="O42" s="11"/>
      <c r="P42" s="2">
        <f>-31129.51</f>
        <v>-31129.51</v>
      </c>
      <c r="Q42" s="2"/>
      <c r="R42" s="22"/>
      <c r="S42" s="2"/>
      <c r="T42" s="2"/>
      <c r="U42" s="2"/>
      <c r="V42" s="22"/>
      <c r="W42" s="2"/>
      <c r="X42" s="2">
        <f t="shared" si="2"/>
        <v>-31129.51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-338.05</f>
        <v>-338.05</v>
      </c>
      <c r="E43" s="2"/>
      <c r="F43" s="22"/>
      <c r="G43" s="2"/>
      <c r="H43" s="2"/>
      <c r="I43" s="2"/>
      <c r="J43" s="22"/>
      <c r="K43" s="2"/>
      <c r="L43" s="2">
        <f t="shared" si="0"/>
        <v>-338.05</v>
      </c>
      <c r="M43" s="2"/>
      <c r="N43" s="22">
        <f t="shared" si="1"/>
        <v>0</v>
      </c>
      <c r="O43" s="11"/>
      <c r="P43" s="2">
        <f>-4041.42</f>
        <v>-4041.42</v>
      </c>
      <c r="Q43" s="2"/>
      <c r="R43" s="22"/>
      <c r="S43" s="2"/>
      <c r="T43" s="2"/>
      <c r="U43" s="2"/>
      <c r="V43" s="22"/>
      <c r="W43" s="2"/>
      <c r="X43" s="2">
        <f t="shared" si="2"/>
        <v>-4041.42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-44.96</f>
        <v>-44.96</v>
      </c>
      <c r="E44" s="2"/>
      <c r="F44" s="22"/>
      <c r="G44" s="2"/>
      <c r="H44" s="2"/>
      <c r="I44" s="2"/>
      <c r="J44" s="22"/>
      <c r="K44" s="2"/>
      <c r="L44" s="2">
        <f t="shared" si="0"/>
        <v>-44.96</v>
      </c>
      <c r="M44" s="2"/>
      <c r="N44" s="22">
        <f t="shared" si="1"/>
        <v>0</v>
      </c>
      <c r="O44" s="11"/>
      <c r="P44" s="2">
        <f>-1738.74</f>
        <v>-1738.74</v>
      </c>
      <c r="Q44" s="2"/>
      <c r="R44" s="22"/>
      <c r="S44" s="2"/>
      <c r="T44" s="2"/>
      <c r="U44" s="2"/>
      <c r="V44" s="22"/>
      <c r="W44" s="2"/>
      <c r="X44" s="2">
        <f t="shared" si="2"/>
        <v>-1738.74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-369.81</f>
        <v>-369.81</v>
      </c>
      <c r="E45" s="2"/>
      <c r="F45" s="22"/>
      <c r="G45" s="2"/>
      <c r="H45" s="2"/>
      <c r="I45" s="2"/>
      <c r="J45" s="22"/>
      <c r="K45" s="2"/>
      <c r="L45" s="2">
        <f t="shared" si="0"/>
        <v>-369.81</v>
      </c>
      <c r="M45" s="2"/>
      <c r="N45" s="22">
        <f t="shared" si="1"/>
        <v>0</v>
      </c>
      <c r="O45" s="11"/>
      <c r="P45" s="2">
        <f>-5369.6</f>
        <v>-5369.6</v>
      </c>
      <c r="Q45" s="2"/>
      <c r="R45" s="22"/>
      <c r="S45" s="2"/>
      <c r="T45" s="2"/>
      <c r="U45" s="2"/>
      <c r="V45" s="22"/>
      <c r="W45" s="2"/>
      <c r="X45" s="2">
        <f t="shared" si="2"/>
        <v>-5369.6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-9.99</f>
        <v>-9.99</v>
      </c>
      <c r="E46" s="2"/>
      <c r="F46" s="22"/>
      <c r="G46" s="2"/>
      <c r="H46" s="2"/>
      <c r="I46" s="2"/>
      <c r="J46" s="22"/>
      <c r="K46" s="2"/>
      <c r="L46" s="2">
        <f t="shared" si="0"/>
        <v>-9.99</v>
      </c>
      <c r="M46" s="2"/>
      <c r="N46" s="22">
        <f t="shared" si="1"/>
        <v>0</v>
      </c>
      <c r="O46" s="11"/>
      <c r="P46" s="2">
        <f>-994.84</f>
        <v>-994.84</v>
      </c>
      <c r="Q46" s="2"/>
      <c r="R46" s="22"/>
      <c r="S46" s="2"/>
      <c r="T46" s="2"/>
      <c r="U46" s="2"/>
      <c r="V46" s="22"/>
      <c r="W46" s="2"/>
      <c r="X46" s="2">
        <f t="shared" si="2"/>
        <v>-994.84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-7.98</f>
        <v>-7.98</v>
      </c>
      <c r="E47" s="2"/>
      <c r="F47" s="22"/>
      <c r="G47" s="2"/>
      <c r="H47" s="2"/>
      <c r="I47" s="2"/>
      <c r="J47" s="22"/>
      <c r="K47" s="2"/>
      <c r="L47" s="2">
        <f t="shared" si="0"/>
        <v>-7.98</v>
      </c>
      <c r="M47" s="2"/>
      <c r="N47" s="22">
        <f t="shared" si="1"/>
        <v>0</v>
      </c>
      <c r="O47" s="11"/>
      <c r="P47" s="2">
        <f>-11353.59</f>
        <v>-11353.59</v>
      </c>
      <c r="Q47" s="2"/>
      <c r="R47" s="22"/>
      <c r="S47" s="2"/>
      <c r="T47" s="2"/>
      <c r="U47" s="2"/>
      <c r="V47" s="22"/>
      <c r="W47" s="2"/>
      <c r="X47" s="2">
        <f t="shared" si="2"/>
        <v>-11353.59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-76.9</f>
        <v>-76.900000000000006</v>
      </c>
      <c r="E48" s="2"/>
      <c r="F48" s="22"/>
      <c r="G48" s="2"/>
      <c r="H48" s="2"/>
      <c r="I48" s="2"/>
      <c r="J48" s="22"/>
      <c r="K48" s="2"/>
      <c r="L48" s="2">
        <f t="shared" si="0"/>
        <v>-76.900000000000006</v>
      </c>
      <c r="M48" s="2"/>
      <c r="N48" s="22">
        <f t="shared" si="1"/>
        <v>0</v>
      </c>
      <c r="O48" s="11"/>
      <c r="P48" s="2">
        <f>-2292.84</f>
        <v>-2292.84</v>
      </c>
      <c r="Q48" s="2"/>
      <c r="R48" s="22"/>
      <c r="S48" s="2"/>
      <c r="T48" s="2"/>
      <c r="U48" s="2"/>
      <c r="V48" s="22"/>
      <c r="W48" s="2"/>
      <c r="X48" s="2">
        <f t="shared" si="2"/>
        <v>-2292.84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 t="shared" ref="D49:D50" si="6"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-351.44</f>
        <v>-351.44</v>
      </c>
      <c r="Q49" s="2"/>
      <c r="R49" s="22"/>
      <c r="S49" s="2"/>
      <c r="T49" s="2"/>
      <c r="U49" s="2"/>
      <c r="V49" s="22"/>
      <c r="W49" s="2"/>
      <c r="X49" s="2">
        <f t="shared" si="2"/>
        <v>-351.44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 t="shared" si="6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62365.999999999993</v>
      </c>
      <c r="E52" s="4"/>
      <c r="F52" s="12">
        <f t="shared" ref="F52:F75" si="7">IF(D$12=0,0,D52/D$12)</f>
        <v>0.51835507746693044</v>
      </c>
      <c r="G52" s="4"/>
      <c r="H52" s="4">
        <f>SUM(OSRRefH16x_0)</f>
        <v>183948</v>
      </c>
      <c r="I52" s="4"/>
      <c r="J52" s="12">
        <f t="shared" ref="J52:J75" si="8">IF(H$12=0,0,H52/H$12)</f>
        <v>0.45914340556070021</v>
      </c>
      <c r="K52" s="4"/>
      <c r="L52" s="4">
        <f t="shared" ref="L52:L75" si="9">+D52-H52</f>
        <v>-121582</v>
      </c>
      <c r="M52" s="4"/>
      <c r="N52" s="12">
        <f t="shared" ref="N52:N75" si="10">IF(H52=0,0,L52/H52)</f>
        <v>-0.66095853175897534</v>
      </c>
      <c r="O52" s="10"/>
      <c r="P52" s="4">
        <f>SUM(OSRRefP16x_0)</f>
        <v>745276.54000000015</v>
      </c>
      <c r="Q52" s="4"/>
      <c r="R52" s="12">
        <f t="shared" ref="R52:R75" si="11">IF(P$12=0,0,P52/P$12)</f>
        <v>0.56842387655565096</v>
      </c>
      <c r="S52" s="4"/>
      <c r="T52" s="4">
        <f>SUM(OSRRefT16x_0)</f>
        <v>1176990</v>
      </c>
      <c r="U52" s="4"/>
      <c r="V52" s="12">
        <f t="shared" ref="V52:V75" si="12">IF(T$12=0,0,T52/T$12)</f>
        <v>0.45766254935370654</v>
      </c>
      <c r="W52" s="4"/>
      <c r="X52" s="4">
        <f t="shared" ref="X52:X75" si="13">+P52-T52</f>
        <v>-431713.45999999985</v>
      </c>
      <c r="Y52" s="4"/>
      <c r="Z52" s="12">
        <f t="shared" ref="Z52:Z75" si="14">IF(T52=0,0,X52/T52)</f>
        <v>-0.36679450122770785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7"/>
        <v>0</v>
      </c>
      <c r="G53" s="2"/>
      <c r="H53" s="2">
        <v>183948</v>
      </c>
      <c r="I53" s="2"/>
      <c r="J53" s="22">
        <f t="shared" si="8"/>
        <v>0.45914340556070021</v>
      </c>
      <c r="K53" s="2"/>
      <c r="L53" s="2">
        <f t="shared" si="9"/>
        <v>-183948</v>
      </c>
      <c r="M53" s="2"/>
      <c r="N53" s="22">
        <f t="shared" si="10"/>
        <v>-1</v>
      </c>
      <c r="O53" s="11"/>
      <c r="P53" s="2"/>
      <c r="Q53" s="2"/>
      <c r="R53" s="22">
        <f t="shared" si="11"/>
        <v>0</v>
      </c>
      <c r="S53" s="2"/>
      <c r="T53" s="2">
        <v>1176990</v>
      </c>
      <c r="U53" s="2"/>
      <c r="V53" s="22">
        <f t="shared" si="12"/>
        <v>0.45766254935370654</v>
      </c>
      <c r="W53" s="2"/>
      <c r="X53" s="2">
        <f t="shared" si="13"/>
        <v>-1176990</v>
      </c>
      <c r="Y53" s="2"/>
      <c r="Z53" s="22">
        <f t="shared" si="14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7"/>
        <v>0</v>
      </c>
      <c r="G54" s="2"/>
      <c r="H54" s="2"/>
      <c r="I54" s="2"/>
      <c r="J54" s="22">
        <f t="shared" si="8"/>
        <v>0</v>
      </c>
      <c r="K54" s="2"/>
      <c r="L54" s="2">
        <f t="shared" si="9"/>
        <v>0</v>
      </c>
      <c r="M54" s="2"/>
      <c r="N54" s="22">
        <f t="shared" si="10"/>
        <v>0</v>
      </c>
      <c r="O54" s="11"/>
      <c r="P54" s="2">
        <v>599.29</v>
      </c>
      <c r="Q54" s="2"/>
      <c r="R54" s="22">
        <f t="shared" si="11"/>
        <v>4.5707965660778208E-4</v>
      </c>
      <c r="S54" s="2"/>
      <c r="T54" s="2"/>
      <c r="U54" s="2"/>
      <c r="V54" s="22">
        <f t="shared" si="12"/>
        <v>0</v>
      </c>
      <c r="W54" s="2"/>
      <c r="X54" s="2">
        <f t="shared" si="13"/>
        <v>599.29</v>
      </c>
      <c r="Y54" s="2"/>
      <c r="Z54" s="22">
        <f t="shared" si="14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7"/>
        <v>0</v>
      </c>
      <c r="G55" s="2"/>
      <c r="H55" s="2"/>
      <c r="I55" s="2"/>
      <c r="J55" s="22">
        <f t="shared" si="8"/>
        <v>0</v>
      </c>
      <c r="K55" s="2"/>
      <c r="L55" s="2">
        <f t="shared" si="9"/>
        <v>0</v>
      </c>
      <c r="M55" s="2"/>
      <c r="N55" s="22">
        <f t="shared" si="10"/>
        <v>0</v>
      </c>
      <c r="O55" s="11"/>
      <c r="P55" s="2">
        <v>10</v>
      </c>
      <c r="Q55" s="2"/>
      <c r="R55" s="22">
        <f t="shared" si="11"/>
        <v>7.6270195833032772E-6</v>
      </c>
      <c r="S55" s="2"/>
      <c r="T55" s="2"/>
      <c r="U55" s="2"/>
      <c r="V55" s="22">
        <f t="shared" si="12"/>
        <v>0</v>
      </c>
      <c r="W55" s="2"/>
      <c r="X55" s="2">
        <f t="shared" si="13"/>
        <v>10</v>
      </c>
      <c r="Y55" s="2"/>
      <c r="Z55" s="22">
        <f t="shared" si="14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7"/>
        <v>0</v>
      </c>
      <c r="G56" s="2"/>
      <c r="H56" s="2"/>
      <c r="I56" s="2"/>
      <c r="J56" s="22">
        <f t="shared" si="8"/>
        <v>0</v>
      </c>
      <c r="K56" s="2"/>
      <c r="L56" s="2">
        <f t="shared" si="9"/>
        <v>0</v>
      </c>
      <c r="M56" s="2"/>
      <c r="N56" s="22">
        <f t="shared" si="10"/>
        <v>0</v>
      </c>
      <c r="O56" s="11"/>
      <c r="P56" s="2">
        <v>18175.88</v>
      </c>
      <c r="Q56" s="2"/>
      <c r="R56" s="22">
        <f t="shared" si="11"/>
        <v>1.3862779270377037E-2</v>
      </c>
      <c r="S56" s="2"/>
      <c r="T56" s="2"/>
      <c r="U56" s="2"/>
      <c r="V56" s="22">
        <f t="shared" si="12"/>
        <v>0</v>
      </c>
      <c r="W56" s="2"/>
      <c r="X56" s="2">
        <f t="shared" si="13"/>
        <v>18175.88</v>
      </c>
      <c r="Y56" s="2"/>
      <c r="Z56" s="22">
        <f t="shared" si="14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>
        <v>833.13</v>
      </c>
      <c r="E57" s="2"/>
      <c r="F57" s="22">
        <f t="shared" si="7"/>
        <v>6.9245609096306284E-3</v>
      </c>
      <c r="G57" s="2"/>
      <c r="H57" s="2"/>
      <c r="I57" s="2"/>
      <c r="J57" s="22">
        <f t="shared" si="8"/>
        <v>0</v>
      </c>
      <c r="K57" s="2"/>
      <c r="L57" s="2">
        <f t="shared" si="9"/>
        <v>833.13</v>
      </c>
      <c r="M57" s="2"/>
      <c r="N57" s="22">
        <f t="shared" si="10"/>
        <v>0</v>
      </c>
      <c r="O57" s="11"/>
      <c r="P57" s="2">
        <v>749.73</v>
      </c>
      <c r="Q57" s="2"/>
      <c r="R57" s="22">
        <f t="shared" si="11"/>
        <v>5.7182053921899661E-4</v>
      </c>
      <c r="S57" s="2"/>
      <c r="T57" s="2"/>
      <c r="U57" s="2"/>
      <c r="V57" s="22">
        <f t="shared" si="12"/>
        <v>0</v>
      </c>
      <c r="W57" s="2"/>
      <c r="X57" s="2">
        <f t="shared" si="13"/>
        <v>749.73</v>
      </c>
      <c r="Y57" s="2"/>
      <c r="Z57" s="22">
        <f t="shared" si="14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271.45999999999998</v>
      </c>
      <c r="E58" s="2"/>
      <c r="F58" s="22">
        <f t="shared" si="7"/>
        <v>2.2562400880154721E-3</v>
      </c>
      <c r="G58" s="2"/>
      <c r="H58" s="2"/>
      <c r="I58" s="2"/>
      <c r="J58" s="22">
        <f t="shared" si="8"/>
        <v>0</v>
      </c>
      <c r="K58" s="2"/>
      <c r="L58" s="2">
        <f t="shared" si="9"/>
        <v>271.45999999999998</v>
      </c>
      <c r="M58" s="2"/>
      <c r="N58" s="22">
        <f t="shared" si="10"/>
        <v>0</v>
      </c>
      <c r="O58" s="11"/>
      <c r="P58" s="2">
        <v>5344.15</v>
      </c>
      <c r="Q58" s="2"/>
      <c r="R58" s="22">
        <f t="shared" si="11"/>
        <v>4.0759936706110207E-3</v>
      </c>
      <c r="S58" s="2"/>
      <c r="T58" s="2"/>
      <c r="U58" s="2"/>
      <c r="V58" s="22">
        <f t="shared" si="12"/>
        <v>0</v>
      </c>
      <c r="W58" s="2"/>
      <c r="X58" s="2">
        <f t="shared" si="13"/>
        <v>5344.15</v>
      </c>
      <c r="Y58" s="2"/>
      <c r="Z58" s="22">
        <f t="shared" si="14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26599.9</v>
      </c>
      <c r="E59" s="2"/>
      <c r="F59" s="22">
        <f t="shared" si="7"/>
        <v>0.2210850980520252</v>
      </c>
      <c r="G59" s="2"/>
      <c r="H59" s="2"/>
      <c r="I59" s="2"/>
      <c r="J59" s="22">
        <f t="shared" si="8"/>
        <v>0</v>
      </c>
      <c r="K59" s="2"/>
      <c r="L59" s="2">
        <f t="shared" si="9"/>
        <v>26599.9</v>
      </c>
      <c r="M59" s="2"/>
      <c r="N59" s="22">
        <f t="shared" si="10"/>
        <v>0</v>
      </c>
      <c r="O59" s="11"/>
      <c r="P59" s="2">
        <v>193971.09</v>
      </c>
      <c r="Q59" s="2"/>
      <c r="R59" s="22">
        <f t="shared" si="11"/>
        <v>0.14794213020246824</v>
      </c>
      <c r="S59" s="2"/>
      <c r="T59" s="2"/>
      <c r="U59" s="2"/>
      <c r="V59" s="22">
        <f t="shared" si="12"/>
        <v>0</v>
      </c>
      <c r="W59" s="2"/>
      <c r="X59" s="2">
        <f t="shared" si="13"/>
        <v>193971.09</v>
      </c>
      <c r="Y59" s="2"/>
      <c r="Z59" s="22">
        <f t="shared" si="14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26592.809999999998</v>
      </c>
      <c r="E60" s="2"/>
      <c r="F60" s="22">
        <f t="shared" si="7"/>
        <v>0.22102616950924159</v>
      </c>
      <c r="G60" s="2"/>
      <c r="H60" s="2"/>
      <c r="I60" s="2"/>
      <c r="J60" s="22">
        <f t="shared" si="8"/>
        <v>0</v>
      </c>
      <c r="K60" s="2"/>
      <c r="L60" s="2">
        <f t="shared" si="9"/>
        <v>26592.809999999998</v>
      </c>
      <c r="M60" s="2"/>
      <c r="N60" s="22">
        <f t="shared" si="10"/>
        <v>0</v>
      </c>
      <c r="O60" s="11"/>
      <c r="P60" s="2">
        <v>67563.81</v>
      </c>
      <c r="Q60" s="2"/>
      <c r="R60" s="22">
        <f t="shared" si="11"/>
        <v>5.1531050199258174E-2</v>
      </c>
      <c r="S60" s="2"/>
      <c r="T60" s="2"/>
      <c r="U60" s="2"/>
      <c r="V60" s="22">
        <f t="shared" si="12"/>
        <v>0</v>
      </c>
      <c r="W60" s="2"/>
      <c r="X60" s="2">
        <f t="shared" si="13"/>
        <v>67563.81</v>
      </c>
      <c r="Y60" s="2"/>
      <c r="Z60" s="22">
        <f t="shared" si="14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1196.2</v>
      </c>
      <c r="E61" s="2"/>
      <c r="F61" s="22">
        <f t="shared" si="7"/>
        <v>9.9422176132178148E-3</v>
      </c>
      <c r="G61" s="2"/>
      <c r="H61" s="2"/>
      <c r="I61" s="2"/>
      <c r="J61" s="22">
        <f t="shared" si="8"/>
        <v>0</v>
      </c>
      <c r="K61" s="2"/>
      <c r="L61" s="2">
        <f t="shared" si="9"/>
        <v>1196.2</v>
      </c>
      <c r="M61" s="2"/>
      <c r="N61" s="22">
        <f t="shared" si="10"/>
        <v>0</v>
      </c>
      <c r="O61" s="11"/>
      <c r="P61" s="2">
        <v>19018.18</v>
      </c>
      <c r="Q61" s="2"/>
      <c r="R61" s="22">
        <f t="shared" si="11"/>
        <v>1.4505203129878672E-2</v>
      </c>
      <c r="S61" s="2"/>
      <c r="T61" s="2"/>
      <c r="U61" s="2"/>
      <c r="V61" s="22">
        <f t="shared" si="12"/>
        <v>0</v>
      </c>
      <c r="W61" s="2"/>
      <c r="X61" s="2">
        <f t="shared" si="13"/>
        <v>19018.18</v>
      </c>
      <c r="Y61" s="2"/>
      <c r="Z61" s="22">
        <f t="shared" si="14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/>
      <c r="E62" s="2"/>
      <c r="F62" s="22">
        <f t="shared" si="7"/>
        <v>0</v>
      </c>
      <c r="G62" s="2"/>
      <c r="H62" s="2"/>
      <c r="I62" s="2"/>
      <c r="J62" s="22">
        <f t="shared" si="8"/>
        <v>0</v>
      </c>
      <c r="K62" s="2"/>
      <c r="L62" s="2">
        <f t="shared" si="9"/>
        <v>0</v>
      </c>
      <c r="M62" s="2"/>
      <c r="N62" s="22">
        <f t="shared" si="10"/>
        <v>0</v>
      </c>
      <c r="O62" s="11"/>
      <c r="P62" s="2">
        <v>55364.33</v>
      </c>
      <c r="Q62" s="2"/>
      <c r="R62" s="22">
        <f t="shared" si="11"/>
        <v>4.2226482912646517E-2</v>
      </c>
      <c r="S62" s="2"/>
      <c r="T62" s="2"/>
      <c r="U62" s="2"/>
      <c r="V62" s="22">
        <f t="shared" si="12"/>
        <v>0</v>
      </c>
      <c r="W62" s="2"/>
      <c r="X62" s="2">
        <f t="shared" si="13"/>
        <v>55364.33</v>
      </c>
      <c r="Y62" s="2"/>
      <c r="Z62" s="22">
        <f t="shared" si="14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22">
        <f t="shared" si="7"/>
        <v>0</v>
      </c>
      <c r="G63" s="2"/>
      <c r="H63" s="2"/>
      <c r="I63" s="2"/>
      <c r="J63" s="22">
        <f t="shared" si="8"/>
        <v>0</v>
      </c>
      <c r="K63" s="2"/>
      <c r="L63" s="2">
        <f t="shared" si="9"/>
        <v>0</v>
      </c>
      <c r="M63" s="2"/>
      <c r="N63" s="22">
        <f t="shared" si="10"/>
        <v>0</v>
      </c>
      <c r="O63" s="11"/>
      <c r="P63" s="2">
        <v>1064.83</v>
      </c>
      <c r="Q63" s="2"/>
      <c r="R63" s="22">
        <f t="shared" si="11"/>
        <v>8.1214792628888277E-4</v>
      </c>
      <c r="S63" s="2"/>
      <c r="T63" s="2"/>
      <c r="U63" s="2"/>
      <c r="V63" s="22">
        <f t="shared" si="12"/>
        <v>0</v>
      </c>
      <c r="W63" s="2"/>
      <c r="X63" s="2">
        <f t="shared" si="13"/>
        <v>1064.83</v>
      </c>
      <c r="Y63" s="2"/>
      <c r="Z63" s="22">
        <f t="shared" si="14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1909.13</v>
      </c>
      <c r="E64" s="2"/>
      <c r="F64" s="22">
        <f t="shared" si="7"/>
        <v>1.5867736090889924E-2</v>
      </c>
      <c r="G64" s="2"/>
      <c r="H64" s="2"/>
      <c r="I64" s="2"/>
      <c r="J64" s="22">
        <f t="shared" si="8"/>
        <v>0</v>
      </c>
      <c r="K64" s="2"/>
      <c r="L64" s="2">
        <f t="shared" si="9"/>
        <v>1909.13</v>
      </c>
      <c r="M64" s="2"/>
      <c r="N64" s="22">
        <f t="shared" si="10"/>
        <v>0</v>
      </c>
      <c r="O64" s="11"/>
      <c r="P64" s="2">
        <v>95373.51</v>
      </c>
      <c r="Q64" s="2"/>
      <c r="R64" s="22">
        <f t="shared" si="11"/>
        <v>7.2741562849837085E-2</v>
      </c>
      <c r="S64" s="2"/>
      <c r="T64" s="2"/>
      <c r="U64" s="2"/>
      <c r="V64" s="22">
        <f t="shared" si="12"/>
        <v>0</v>
      </c>
      <c r="W64" s="2"/>
      <c r="X64" s="2">
        <f t="shared" si="13"/>
        <v>95373.51</v>
      </c>
      <c r="Y64" s="2"/>
      <c r="Z64" s="22">
        <f t="shared" si="14"/>
        <v>0</v>
      </c>
    </row>
    <row r="65" spans="1:26" s="24" customFormat="1" hidden="1" outlineLevel="1" x14ac:dyDescent="0.25">
      <c r="A65" s="51"/>
      <c r="B65" s="11" t="str">
        <f>CONCATENATE("          ", "5086", " - ", "PURCHASES @ COST-COMPUTER SUPP")</f>
        <v xml:space="preserve">          5086 - PURCHASES @ COST-COMPUTER SUPP</v>
      </c>
      <c r="C65" s="11"/>
      <c r="D65" s="2">
        <v>13.21</v>
      </c>
      <c r="E65" s="2"/>
      <c r="F65" s="22">
        <f t="shared" si="7"/>
        <v>1.0979492950226328E-4</v>
      </c>
      <c r="G65" s="2"/>
      <c r="H65" s="2"/>
      <c r="I65" s="2"/>
      <c r="J65" s="22">
        <f t="shared" si="8"/>
        <v>0</v>
      </c>
      <c r="K65" s="2"/>
      <c r="L65" s="2">
        <f t="shared" si="9"/>
        <v>13.21</v>
      </c>
      <c r="M65" s="2"/>
      <c r="N65" s="22">
        <f t="shared" si="10"/>
        <v>0</v>
      </c>
      <c r="O65" s="11"/>
      <c r="P65" s="2">
        <v>13.21</v>
      </c>
      <c r="Q65" s="2"/>
      <c r="R65" s="22">
        <f t="shared" si="11"/>
        <v>1.007529286954363E-5</v>
      </c>
      <c r="S65" s="2"/>
      <c r="T65" s="2"/>
      <c r="U65" s="2"/>
      <c r="V65" s="22">
        <f t="shared" si="12"/>
        <v>0</v>
      </c>
      <c r="W65" s="2"/>
      <c r="X65" s="2">
        <f t="shared" si="13"/>
        <v>13.21</v>
      </c>
      <c r="Y65" s="2"/>
      <c r="Z65" s="22">
        <f t="shared" si="14"/>
        <v>0</v>
      </c>
    </row>
    <row r="66" spans="1:26" s="24" customFormat="1" hidden="1" outlineLevel="1" x14ac:dyDescent="0.25">
      <c r="A66" s="51"/>
      <c r="B66" s="11" t="str">
        <f>CONCATENATE("          ", "5200", " - ", "PURCHASES OFFSET")</f>
        <v xml:space="preserve">          5200 - PURCHASES OFFSET</v>
      </c>
      <c r="C66" s="11"/>
      <c r="D66" s="2">
        <v>-58076.24</v>
      </c>
      <c r="E66" s="2"/>
      <c r="F66" s="22">
        <f t="shared" si="7"/>
        <v>-0.48270073251752627</v>
      </c>
      <c r="G66" s="2"/>
      <c r="H66" s="2"/>
      <c r="I66" s="2"/>
      <c r="J66" s="22">
        <f t="shared" si="8"/>
        <v>0</v>
      </c>
      <c r="K66" s="2"/>
      <c r="L66" s="2">
        <f t="shared" si="9"/>
        <v>-58076.24</v>
      </c>
      <c r="M66" s="2"/>
      <c r="N66" s="22">
        <f t="shared" si="10"/>
        <v>0</v>
      </c>
      <c r="O66" s="11"/>
      <c r="P66" s="2">
        <v>-475353.21</v>
      </c>
      <c r="Q66" s="2"/>
      <c r="R66" s="22">
        <f t="shared" si="11"/>
        <v>-0.36255282416560752</v>
      </c>
      <c r="S66" s="2"/>
      <c r="T66" s="2"/>
      <c r="U66" s="2"/>
      <c r="V66" s="22">
        <f t="shared" si="12"/>
        <v>0</v>
      </c>
      <c r="W66" s="2"/>
      <c r="X66" s="2">
        <f t="shared" si="13"/>
        <v>-475353.21</v>
      </c>
      <c r="Y66" s="2"/>
      <c r="Z66" s="22">
        <f t="shared" si="14"/>
        <v>0</v>
      </c>
    </row>
    <row r="67" spans="1:26" s="24" customFormat="1" hidden="1" outlineLevel="1" x14ac:dyDescent="0.25">
      <c r="A67" s="51"/>
      <c r="B67" s="11" t="str">
        <f>CONCATENATE("          ", "5300", " - ", "COG$ OFFSET")</f>
        <v xml:space="preserve">          5300 - COG$ OFFSET</v>
      </c>
      <c r="C67" s="11"/>
      <c r="D67" s="2">
        <v>62366</v>
      </c>
      <c r="E67" s="2"/>
      <c r="F67" s="22">
        <f t="shared" si="7"/>
        <v>0.51835507746693044</v>
      </c>
      <c r="G67" s="2"/>
      <c r="H67" s="2"/>
      <c r="I67" s="2"/>
      <c r="J67" s="22">
        <f t="shared" si="8"/>
        <v>0</v>
      </c>
      <c r="K67" s="2"/>
      <c r="L67" s="2">
        <f t="shared" si="9"/>
        <v>62366</v>
      </c>
      <c r="M67" s="2"/>
      <c r="N67" s="22">
        <f t="shared" si="10"/>
        <v>0</v>
      </c>
      <c r="O67" s="11"/>
      <c r="P67" s="2">
        <v>744360</v>
      </c>
      <c r="Q67" s="2"/>
      <c r="R67" s="22">
        <f t="shared" si="11"/>
        <v>0.56772482970276272</v>
      </c>
      <c r="S67" s="2"/>
      <c r="T67" s="2"/>
      <c r="U67" s="2"/>
      <c r="V67" s="22">
        <f t="shared" si="12"/>
        <v>0</v>
      </c>
      <c r="W67" s="2"/>
      <c r="X67" s="2">
        <f t="shared" si="13"/>
        <v>744360</v>
      </c>
      <c r="Y67" s="2"/>
      <c r="Z67" s="22">
        <f t="shared" si="14"/>
        <v>0</v>
      </c>
    </row>
    <row r="68" spans="1:26" s="24" customFormat="1" hidden="1" outlineLevel="1" x14ac:dyDescent="0.25">
      <c r="A68" s="51"/>
      <c r="B68" s="11" t="str">
        <f>CONCATENATE("          ", "5525", " - ", "FREIGHT-IN-TEST FORMS")</f>
        <v xml:space="preserve">          5525 - FREIGHT-IN-TEST FORMS</v>
      </c>
      <c r="C68" s="11"/>
      <c r="D68" s="2"/>
      <c r="E68" s="2"/>
      <c r="F68" s="22">
        <f t="shared" si="7"/>
        <v>0</v>
      </c>
      <c r="G68" s="2"/>
      <c r="H68" s="2"/>
      <c r="I68" s="2"/>
      <c r="J68" s="22">
        <f t="shared" si="8"/>
        <v>0</v>
      </c>
      <c r="K68" s="2"/>
      <c r="L68" s="2">
        <f t="shared" si="9"/>
        <v>0</v>
      </c>
      <c r="M68" s="2"/>
      <c r="N68" s="22">
        <f t="shared" si="10"/>
        <v>0</v>
      </c>
      <c r="O68" s="11"/>
      <c r="P68" s="2">
        <v>48.14</v>
      </c>
      <c r="Q68" s="2"/>
      <c r="R68" s="22">
        <f t="shared" si="11"/>
        <v>3.6716472274021979E-5</v>
      </c>
      <c r="S68" s="2"/>
      <c r="T68" s="2"/>
      <c r="U68" s="2"/>
      <c r="V68" s="22">
        <f t="shared" si="12"/>
        <v>0</v>
      </c>
      <c r="W68" s="2"/>
      <c r="X68" s="2">
        <f t="shared" si="13"/>
        <v>48.14</v>
      </c>
      <c r="Y68" s="2"/>
      <c r="Z68" s="22">
        <f t="shared" si="14"/>
        <v>0</v>
      </c>
    </row>
    <row r="69" spans="1:26" s="24" customFormat="1" hidden="1" outlineLevel="1" x14ac:dyDescent="0.25">
      <c r="A69" s="51"/>
      <c r="B69" s="11" t="str">
        <f>CONCATENATE("          ", "5527", " - ", "FREIGHT-IN-SCHOOL SUPPLIES")</f>
        <v xml:space="preserve">          5527 - FREIGHT-IN-SCHOOL SUPPLIES</v>
      </c>
      <c r="C69" s="11"/>
      <c r="D69" s="2"/>
      <c r="E69" s="2"/>
      <c r="F69" s="22">
        <f t="shared" si="7"/>
        <v>0</v>
      </c>
      <c r="G69" s="2"/>
      <c r="H69" s="2"/>
      <c r="I69" s="2"/>
      <c r="J69" s="22">
        <f t="shared" si="8"/>
        <v>0</v>
      </c>
      <c r="K69" s="2"/>
      <c r="L69" s="2">
        <f t="shared" si="9"/>
        <v>0</v>
      </c>
      <c r="M69" s="2"/>
      <c r="N69" s="22">
        <f t="shared" si="10"/>
        <v>0</v>
      </c>
      <c r="O69" s="11"/>
      <c r="P69" s="2">
        <v>177.5</v>
      </c>
      <c r="Q69" s="2"/>
      <c r="R69" s="22">
        <f t="shared" si="11"/>
        <v>1.3537959760363317E-4</v>
      </c>
      <c r="S69" s="2"/>
      <c r="T69" s="2"/>
      <c r="U69" s="2"/>
      <c r="V69" s="22">
        <f t="shared" si="12"/>
        <v>0</v>
      </c>
      <c r="W69" s="2"/>
      <c r="X69" s="2">
        <f t="shared" si="13"/>
        <v>177.5</v>
      </c>
      <c r="Y69" s="2"/>
      <c r="Z69" s="22">
        <f t="shared" si="14"/>
        <v>0</v>
      </c>
    </row>
    <row r="70" spans="1:26" s="24" customFormat="1" hidden="1" outlineLevel="1" x14ac:dyDescent="0.25">
      <c r="A70" s="51"/>
      <c r="B70" s="11" t="str">
        <f>CONCATENATE("          ", "5528", " - ", "FREIGHT-IN-ART/TECH")</f>
        <v xml:space="preserve">          5528 - FREIGHT-IN-ART/TECH</v>
      </c>
      <c r="C70" s="11"/>
      <c r="D70" s="2"/>
      <c r="E70" s="2"/>
      <c r="F70" s="22">
        <f t="shared" si="7"/>
        <v>0</v>
      </c>
      <c r="G70" s="2"/>
      <c r="H70" s="2"/>
      <c r="I70" s="2"/>
      <c r="J70" s="22">
        <f t="shared" si="8"/>
        <v>0</v>
      </c>
      <c r="K70" s="2"/>
      <c r="L70" s="2">
        <f t="shared" si="9"/>
        <v>0</v>
      </c>
      <c r="M70" s="2"/>
      <c r="N70" s="22">
        <f t="shared" si="10"/>
        <v>0</v>
      </c>
      <c r="O70" s="11"/>
      <c r="P70" s="2">
        <v>33.950000000000003</v>
      </c>
      <c r="Q70" s="2"/>
      <c r="R70" s="22">
        <f t="shared" si="11"/>
        <v>2.5893731485314629E-5</v>
      </c>
      <c r="S70" s="2"/>
      <c r="T70" s="2"/>
      <c r="U70" s="2"/>
      <c r="V70" s="22">
        <f t="shared" si="12"/>
        <v>0</v>
      </c>
      <c r="W70" s="2"/>
      <c r="X70" s="2">
        <f t="shared" si="13"/>
        <v>33.950000000000003</v>
      </c>
      <c r="Y70" s="2"/>
      <c r="Z70" s="22">
        <f t="shared" si="14"/>
        <v>0</v>
      </c>
    </row>
    <row r="71" spans="1:26" s="24" customFormat="1" hidden="1" outlineLevel="1" x14ac:dyDescent="0.25">
      <c r="A71" s="51"/>
      <c r="B71" s="11" t="str">
        <f>CONCATENATE("          ", "5540", " - ", "FREIGHT-IN-LOGO CLOTHING")</f>
        <v xml:space="preserve">          5540 - FREIGHT-IN-LOGO CLOTHING</v>
      </c>
      <c r="C71" s="11"/>
      <c r="D71" s="2">
        <v>150.6</v>
      </c>
      <c r="E71" s="2"/>
      <c r="F71" s="22">
        <f t="shared" si="7"/>
        <v>1.2517120653323882E-3</v>
      </c>
      <c r="G71" s="2"/>
      <c r="H71" s="2"/>
      <c r="I71" s="2"/>
      <c r="J71" s="22">
        <f t="shared" si="8"/>
        <v>0</v>
      </c>
      <c r="K71" s="2"/>
      <c r="L71" s="2">
        <f t="shared" si="9"/>
        <v>150.6</v>
      </c>
      <c r="M71" s="2"/>
      <c r="N71" s="22">
        <f t="shared" si="10"/>
        <v>0</v>
      </c>
      <c r="O71" s="11"/>
      <c r="P71" s="2">
        <v>5941.23</v>
      </c>
      <c r="Q71" s="2"/>
      <c r="R71" s="22">
        <f t="shared" si="11"/>
        <v>4.5313877558908928E-3</v>
      </c>
      <c r="S71" s="2"/>
      <c r="T71" s="2"/>
      <c r="U71" s="2"/>
      <c r="V71" s="22">
        <f t="shared" si="12"/>
        <v>0</v>
      </c>
      <c r="W71" s="2"/>
      <c r="X71" s="2">
        <f t="shared" si="13"/>
        <v>5941.23</v>
      </c>
      <c r="Y71" s="2"/>
      <c r="Z71" s="22">
        <f t="shared" si="14"/>
        <v>0</v>
      </c>
    </row>
    <row r="72" spans="1:26" s="24" customFormat="1" hidden="1" outlineLevel="1" x14ac:dyDescent="0.25">
      <c r="A72" s="51"/>
      <c r="B72" s="11" t="str">
        <f>CONCATENATE("          ", "5541", " - ", "FREIGHT-IN-LOGO GIFTS")</f>
        <v xml:space="preserve">          5541 - FREIGHT-IN-LOGO GIFTS</v>
      </c>
      <c r="C72" s="11"/>
      <c r="D72" s="2">
        <v>375.06</v>
      </c>
      <c r="E72" s="2"/>
      <c r="F72" s="22">
        <f t="shared" si="7"/>
        <v>3.1173116017501031E-3</v>
      </c>
      <c r="G72" s="2"/>
      <c r="H72" s="2"/>
      <c r="I72" s="2"/>
      <c r="J72" s="22">
        <f t="shared" si="8"/>
        <v>0</v>
      </c>
      <c r="K72" s="2"/>
      <c r="L72" s="2">
        <f t="shared" si="9"/>
        <v>375.06</v>
      </c>
      <c r="M72" s="2"/>
      <c r="N72" s="22">
        <f t="shared" si="10"/>
        <v>0</v>
      </c>
      <c r="O72" s="11"/>
      <c r="P72" s="2">
        <v>2077.9299999999998</v>
      </c>
      <c r="Q72" s="2"/>
      <c r="R72" s="22">
        <f t="shared" si="11"/>
        <v>1.5848412802733378E-3</v>
      </c>
      <c r="S72" s="2"/>
      <c r="T72" s="2"/>
      <c r="U72" s="2"/>
      <c r="V72" s="22">
        <f t="shared" si="12"/>
        <v>0</v>
      </c>
      <c r="W72" s="2"/>
      <c r="X72" s="2">
        <f t="shared" si="13"/>
        <v>2077.9299999999998</v>
      </c>
      <c r="Y72" s="2"/>
      <c r="Z72" s="22">
        <f t="shared" si="14"/>
        <v>0</v>
      </c>
    </row>
    <row r="73" spans="1:26" s="24" customFormat="1" hidden="1" outlineLevel="1" x14ac:dyDescent="0.25">
      <c r="A73" s="51"/>
      <c r="B73" s="11" t="str">
        <f>CONCATENATE("          ", "5542", " - ", "FREIGHT-IN-EVERYDAY GIFTS")</f>
        <v xml:space="preserve">          5542 - FREIGHT-IN-EVERYDAY GIFTS</v>
      </c>
      <c r="C73" s="11"/>
      <c r="D73" s="2"/>
      <c r="E73" s="2"/>
      <c r="F73" s="22">
        <f t="shared" si="7"/>
        <v>0</v>
      </c>
      <c r="G73" s="2"/>
      <c r="H73" s="2"/>
      <c r="I73" s="2"/>
      <c r="J73" s="22">
        <f t="shared" si="8"/>
        <v>0</v>
      </c>
      <c r="K73" s="2"/>
      <c r="L73" s="2">
        <f t="shared" si="9"/>
        <v>0</v>
      </c>
      <c r="M73" s="2"/>
      <c r="N73" s="22">
        <f t="shared" si="10"/>
        <v>0</v>
      </c>
      <c r="O73" s="11"/>
      <c r="P73" s="2">
        <v>383.93</v>
      </c>
      <c r="Q73" s="2"/>
      <c r="R73" s="22">
        <f t="shared" si="11"/>
        <v>2.9282416286176272E-4</v>
      </c>
      <c r="S73" s="2"/>
      <c r="T73" s="2"/>
      <c r="U73" s="2"/>
      <c r="V73" s="22">
        <f t="shared" si="12"/>
        <v>0</v>
      </c>
      <c r="W73" s="2"/>
      <c r="X73" s="2">
        <f t="shared" si="13"/>
        <v>383.93</v>
      </c>
      <c r="Y73" s="2"/>
      <c r="Z73" s="22">
        <f t="shared" si="14"/>
        <v>0</v>
      </c>
    </row>
    <row r="74" spans="1:26" s="24" customFormat="1" hidden="1" outlineLevel="1" x14ac:dyDescent="0.25">
      <c r="A74" s="51"/>
      <c r="B74" s="11" t="str">
        <f>CONCATENATE("          ", "5543", " - ", "FREIGHT-IN-CARDS")</f>
        <v xml:space="preserve">          5543 - FREIGHT-IN-CARDS</v>
      </c>
      <c r="C74" s="11"/>
      <c r="D74" s="2"/>
      <c r="E74" s="2"/>
      <c r="F74" s="22">
        <f t="shared" si="7"/>
        <v>0</v>
      </c>
      <c r="G74" s="2"/>
      <c r="H74" s="2"/>
      <c r="I74" s="2"/>
      <c r="J74" s="22">
        <f t="shared" si="8"/>
        <v>0</v>
      </c>
      <c r="K74" s="2"/>
      <c r="L74" s="2">
        <f t="shared" si="9"/>
        <v>0</v>
      </c>
      <c r="M74" s="2"/>
      <c r="N74" s="22">
        <f t="shared" si="10"/>
        <v>0</v>
      </c>
      <c r="O74" s="11"/>
      <c r="P74" s="2">
        <v>9110.5300000000007</v>
      </c>
      <c r="Q74" s="2"/>
      <c r="R74" s="22">
        <f t="shared" si="11"/>
        <v>6.948619072427201E-3</v>
      </c>
      <c r="S74" s="2"/>
      <c r="T74" s="2"/>
      <c r="U74" s="2"/>
      <c r="V74" s="22">
        <f t="shared" si="12"/>
        <v>0</v>
      </c>
      <c r="W74" s="2"/>
      <c r="X74" s="2">
        <f t="shared" si="13"/>
        <v>9110.5300000000007</v>
      </c>
      <c r="Y74" s="2"/>
      <c r="Z74" s="22">
        <f t="shared" si="14"/>
        <v>0</v>
      </c>
    </row>
    <row r="75" spans="1:26" s="24" customFormat="1" hidden="1" outlineLevel="1" x14ac:dyDescent="0.25">
      <c r="A75" s="51"/>
      <c r="B75" s="11" t="str">
        <f>CONCATENATE("          ", "5545", " - ", "FREIGHT-IN-SPECIAL ORDERS")</f>
        <v xml:space="preserve">          5545 - FREIGHT-IN-SPECIAL ORDERS</v>
      </c>
      <c r="C75" s="11"/>
      <c r="D75" s="2">
        <v>134.74</v>
      </c>
      <c r="E75" s="2"/>
      <c r="F75" s="22">
        <f t="shared" si="7"/>
        <v>1.1198916579208899E-3</v>
      </c>
      <c r="G75" s="2"/>
      <c r="H75" s="2"/>
      <c r="I75" s="2"/>
      <c r="J75" s="22">
        <f t="shared" si="8"/>
        <v>0</v>
      </c>
      <c r="K75" s="2"/>
      <c r="L75" s="2">
        <f t="shared" si="9"/>
        <v>134.74</v>
      </c>
      <c r="M75" s="2"/>
      <c r="N75" s="22">
        <f t="shared" si="10"/>
        <v>0</v>
      </c>
      <c r="O75" s="11"/>
      <c r="P75" s="2">
        <v>1248.53</v>
      </c>
      <c r="Q75" s="2"/>
      <c r="R75" s="22">
        <f t="shared" si="11"/>
        <v>9.5225627603416402E-4</v>
      </c>
      <c r="S75" s="2"/>
      <c r="T75" s="2"/>
      <c r="U75" s="2"/>
      <c r="V75" s="22">
        <f t="shared" si="12"/>
        <v>0</v>
      </c>
      <c r="W75" s="2"/>
      <c r="X75" s="2">
        <f t="shared" si="13"/>
        <v>1248.53</v>
      </c>
      <c r="Y75" s="2"/>
      <c r="Z75" s="22">
        <f t="shared" si="14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5" t="s">
        <v>6</v>
      </c>
      <c r="C77" s="25"/>
      <c r="D77" s="19">
        <f>D12-D52</f>
        <v>57949.21</v>
      </c>
      <c r="E77" s="13"/>
      <c r="F77" s="21">
        <f>IF(D$12=0,0,D77/D$12)</f>
        <v>0.48164492253306962</v>
      </c>
      <c r="G77" s="13"/>
      <c r="H77" s="19">
        <f>H12-H52</f>
        <v>216685</v>
      </c>
      <c r="I77" s="13"/>
      <c r="J77" s="21">
        <f>IF(H$12=0,0,H77/H$12)</f>
        <v>0.54085659443929979</v>
      </c>
      <c r="K77" s="15"/>
      <c r="L77" s="19">
        <f>+D77-H77</f>
        <v>-158735.79</v>
      </c>
      <c r="M77" s="15"/>
      <c r="N77" s="21">
        <f>IF(H77=0,0,L77/H77)</f>
        <v>-0.73256473682996059</v>
      </c>
      <c r="O77" s="26"/>
      <c r="P77" s="19">
        <f>P12-P52</f>
        <v>565851.59999999974</v>
      </c>
      <c r="Q77" s="13"/>
      <c r="R77" s="21">
        <f>IF(P$12=0,0,P77/P$12)</f>
        <v>0.43157612344434909</v>
      </c>
      <c r="S77" s="13"/>
      <c r="T77" s="19">
        <f>T12-T52</f>
        <v>1394752</v>
      </c>
      <c r="U77" s="13"/>
      <c r="V77" s="21">
        <f>IF(T$12=0,0,T77/T$12)</f>
        <v>0.54233745064629346</v>
      </c>
      <c r="W77" s="15"/>
      <c r="X77" s="19">
        <f>+P77-T77</f>
        <v>-828900.40000000026</v>
      </c>
      <c r="Y77" s="15"/>
      <c r="Z77" s="21">
        <f>IF(T77=0,0,X77/T77)</f>
        <v>-0.59429948836782476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6" t="s">
        <v>9</v>
      </c>
      <c r="C79" s="10"/>
      <c r="D79" s="20">
        <f>SUM(OSRRefD22x_0)</f>
        <v>59265.640000000007</v>
      </c>
      <c r="E79" s="20"/>
      <c r="F79" s="33">
        <f t="shared" ref="F79:F89" si="15">IF(D$12=0,0,D79/D$12)</f>
        <v>0.49258643192327894</v>
      </c>
      <c r="G79" s="20"/>
      <c r="H79" s="20">
        <f>SUM(OSRRefH22x_0)</f>
        <v>136737.75692792307</v>
      </c>
      <c r="I79" s="20"/>
      <c r="J79" s="33">
        <f t="shared" ref="J79:J89" si="16">IF(H$12=0,0,H79/H$12)</f>
        <v>0.34130427829939886</v>
      </c>
      <c r="K79" s="4"/>
      <c r="L79" s="20">
        <f t="shared" ref="L79:L89" si="17">+D79-H79</f>
        <v>-77472.116927923053</v>
      </c>
      <c r="M79" s="4"/>
      <c r="N79" s="33">
        <f t="shared" ref="N79:N89" si="18">IF(H79=0,0,L79/H79)</f>
        <v>-0.56657443173329225</v>
      </c>
      <c r="O79" s="10"/>
      <c r="P79" s="20">
        <f>SUM(OSRRefP22x_0)</f>
        <v>543910.10999999987</v>
      </c>
      <c r="Q79" s="20"/>
      <c r="R79" s="33">
        <f t="shared" ref="R79:R89" si="19">IF(P$12=0,0,P79/P$12)</f>
        <v>0.41484130605266384</v>
      </c>
      <c r="S79" s="20"/>
      <c r="T79" s="20">
        <f>SUM(OSRRefT22x_0)</f>
        <v>1016747.3826335769</v>
      </c>
      <c r="U79" s="20"/>
      <c r="V79" s="33">
        <f t="shared" ref="V79:V89" si="20">IF(T$12=0,0,T79/T$12)</f>
        <v>0.39535357070560612</v>
      </c>
      <c r="W79" s="4"/>
      <c r="X79" s="20">
        <f t="shared" ref="X79:X89" si="21">+P79-T79</f>
        <v>-472837.272633577</v>
      </c>
      <c r="Y79" s="4"/>
      <c r="Z79" s="33">
        <f t="shared" ref="Z79:Z89" si="22">IF(T79=0,0,X79/T79)</f>
        <v>-0.46504892041997187</v>
      </c>
    </row>
    <row r="80" spans="1:26" s="28" customFormat="1" outlineLevel="1" collapsed="1" x14ac:dyDescent="0.25">
      <c r="A80" s="29"/>
      <c r="B80" s="14" t="str">
        <f>CONCATENATE("     ","*Benefits                                         ")</f>
        <v xml:space="preserve">     *Benefits                                         </v>
      </c>
      <c r="C80" s="14"/>
      <c r="D80" s="1">
        <f>SUM(OSRRefD22_0x_0)</f>
        <v>13085.359999999999</v>
      </c>
      <c r="E80" s="1"/>
      <c r="F80" s="5">
        <f t="shared" si="15"/>
        <v>0.1087589840054304</v>
      </c>
      <c r="G80" s="1"/>
      <c r="H80" s="1">
        <f>SUM(OSRRefH22_0x_0)</f>
        <v>14127.755389461534</v>
      </c>
      <c r="I80" s="1"/>
      <c r="J80" s="5">
        <f t="shared" si="16"/>
        <v>3.5263583852207715E-2</v>
      </c>
      <c r="K80" s="1"/>
      <c r="L80" s="1">
        <f t="shared" si="17"/>
        <v>-1042.3953894615352</v>
      </c>
      <c r="M80" s="1"/>
      <c r="N80" s="5">
        <f t="shared" si="18"/>
        <v>-7.3783510594973928E-2</v>
      </c>
      <c r="O80" s="14"/>
      <c r="P80" s="1">
        <f>SUM(OSRRefP22_0x_0)</f>
        <v>120468.24</v>
      </c>
      <c r="Q80" s="1"/>
      <c r="R80" s="5">
        <f t="shared" si="19"/>
        <v>9.1881362564607924E-2</v>
      </c>
      <c r="S80" s="1"/>
      <c r="T80" s="1">
        <f>SUM(OSRRefT22_0x_0)</f>
        <v>121602.69667203842</v>
      </c>
      <c r="U80" s="1"/>
      <c r="V80" s="5">
        <f t="shared" si="20"/>
        <v>4.7284174179228873E-2</v>
      </c>
      <c r="W80" s="1"/>
      <c r="X80" s="1">
        <f t="shared" si="21"/>
        <v>-1134.4566720384173</v>
      </c>
      <c r="Y80" s="1"/>
      <c r="Z80" s="5">
        <f t="shared" si="22"/>
        <v>-9.3292065314804547E-3</v>
      </c>
    </row>
    <row r="81" spans="1:26" s="24" customFormat="1" hidden="1" outlineLevel="2" x14ac:dyDescent="0.25">
      <c r="A81" s="27"/>
      <c r="B81" s="11" t="str">
        <f>CONCATENATE("          ", "6111", " - ", "F.I.C.A.")</f>
        <v xml:space="preserve">          6111 - F.I.C.A.</v>
      </c>
      <c r="C81" s="11"/>
      <c r="D81" s="7">
        <v>2409.65</v>
      </c>
      <c r="E81" s="2"/>
      <c r="F81" s="6">
        <f t="shared" si="15"/>
        <v>2.0027808620373105E-2</v>
      </c>
      <c r="G81" s="2"/>
      <c r="H81" s="7">
        <v>1783.213756153848</v>
      </c>
      <c r="I81" s="2"/>
      <c r="J81" s="6">
        <f t="shared" si="16"/>
        <v>4.4509906976056592E-3</v>
      </c>
      <c r="K81" s="2"/>
      <c r="L81" s="7">
        <f t="shared" si="17"/>
        <v>626.43624384615214</v>
      </c>
      <c r="M81" s="2"/>
      <c r="N81" s="6">
        <f t="shared" si="18"/>
        <v>0.35129621543369582</v>
      </c>
      <c r="O81" s="11"/>
      <c r="P81" s="7">
        <v>23705.609999999997</v>
      </c>
      <c r="Q81" s="2"/>
      <c r="R81" s="6">
        <f t="shared" si="19"/>
        <v>1.8080315170414998E-2</v>
      </c>
      <c r="S81" s="2"/>
      <c r="T81" s="7">
        <v>21486.440646346156</v>
      </c>
      <c r="U81" s="2"/>
      <c r="V81" s="6">
        <f t="shared" si="20"/>
        <v>8.3548196694482411E-3</v>
      </c>
      <c r="W81" s="2"/>
      <c r="X81" s="7">
        <f t="shared" si="21"/>
        <v>2219.1693536538405</v>
      </c>
      <c r="Y81" s="2"/>
      <c r="Z81" s="6">
        <f t="shared" si="22"/>
        <v>0.10328231605131946</v>
      </c>
    </row>
    <row r="82" spans="1:26" s="24" customFormat="1" hidden="1" outlineLevel="2" x14ac:dyDescent="0.25">
      <c r="A82" s="27"/>
      <c r="B82" s="11" t="str">
        <f>CONCATENATE("          ", "6112", " - ", "COMPENSATION INSURANCE")</f>
        <v xml:space="preserve">          6112 - COMPENSATION INSURANCE</v>
      </c>
      <c r="C82" s="11"/>
      <c r="D82" s="7">
        <v>745.07</v>
      </c>
      <c r="E82" s="2"/>
      <c r="F82" s="6">
        <f t="shared" si="15"/>
        <v>6.1926501229561922E-3</v>
      </c>
      <c r="G82" s="2"/>
      <c r="H82" s="7">
        <v>1348.2643888461521</v>
      </c>
      <c r="I82" s="2"/>
      <c r="J82" s="6">
        <f t="shared" si="16"/>
        <v>3.3653353289573051E-3</v>
      </c>
      <c r="K82" s="2"/>
      <c r="L82" s="7">
        <f t="shared" si="17"/>
        <v>-603.19438884615204</v>
      </c>
      <c r="M82" s="2"/>
      <c r="N82" s="6">
        <f t="shared" si="18"/>
        <v>-0.44738583458572784</v>
      </c>
      <c r="O82" s="11"/>
      <c r="P82" s="7">
        <v>8485.1200000000008</v>
      </c>
      <c r="Q82" s="2"/>
      <c r="R82" s="6">
        <f t="shared" si="19"/>
        <v>6.4716176406678311E-3</v>
      </c>
      <c r="S82" s="2"/>
      <c r="T82" s="7">
        <v>10149.609376153847</v>
      </c>
      <c r="U82" s="2"/>
      <c r="V82" s="6">
        <f t="shared" si="20"/>
        <v>3.9465892675679933E-3</v>
      </c>
      <c r="W82" s="2"/>
      <c r="X82" s="7">
        <f t="shared" si="21"/>
        <v>-1664.489376153846</v>
      </c>
      <c r="Y82" s="2"/>
      <c r="Z82" s="6">
        <f t="shared" si="22"/>
        <v>-0.16399541248006114</v>
      </c>
    </row>
    <row r="83" spans="1:26" s="24" customFormat="1" hidden="1" outlineLevel="2" x14ac:dyDescent="0.25">
      <c r="A83" s="27"/>
      <c r="B83" s="11" t="str">
        <f>CONCATENATE("          ", "6113", " - ", "GROUP INSURANCE")</f>
        <v xml:space="preserve">          6113 - GROUP INSURANCE</v>
      </c>
      <c r="C83" s="11"/>
      <c r="D83" s="7">
        <v>4826.13</v>
      </c>
      <c r="E83" s="2"/>
      <c r="F83" s="6">
        <f t="shared" si="15"/>
        <v>4.0112384793244346E-2</v>
      </c>
      <c r="G83" s="2"/>
      <c r="H83" s="7">
        <v>5958.8461538461497</v>
      </c>
      <c r="I83" s="2"/>
      <c r="J83" s="6">
        <f t="shared" si="16"/>
        <v>1.4873577947513435E-2</v>
      </c>
      <c r="K83" s="2"/>
      <c r="L83" s="7">
        <f t="shared" si="17"/>
        <v>-1132.7161538461496</v>
      </c>
      <c r="M83" s="2"/>
      <c r="N83" s="6">
        <f t="shared" si="18"/>
        <v>-0.19008984702768936</v>
      </c>
      <c r="O83" s="11"/>
      <c r="P83" s="7">
        <v>43771.17</v>
      </c>
      <c r="Q83" s="2"/>
      <c r="R83" s="6">
        <f t="shared" si="19"/>
        <v>3.3384357077409686E-2</v>
      </c>
      <c r="S83" s="2"/>
      <c r="T83" s="7">
        <v>48131.153846153822</v>
      </c>
      <c r="U83" s="2"/>
      <c r="V83" s="6">
        <f t="shared" si="20"/>
        <v>1.8715389742110143E-2</v>
      </c>
      <c r="W83" s="2"/>
      <c r="X83" s="7">
        <f t="shared" si="21"/>
        <v>-4359.9838461538238</v>
      </c>
      <c r="Y83" s="2"/>
      <c r="Z83" s="6">
        <f t="shared" si="22"/>
        <v>-9.0585483574527517E-2</v>
      </c>
    </row>
    <row r="84" spans="1:26" s="24" customFormat="1" hidden="1" outlineLevel="2" x14ac:dyDescent="0.25">
      <c r="A84" s="27"/>
      <c r="B84" s="11" t="str">
        <f>CONCATENATE("          ", "6114", " - ", "STATE UNEMPLOYMENT INSURANCE")</f>
        <v xml:space="preserve">          6114 - STATE UNEMPLOYMENT INSURANCE</v>
      </c>
      <c r="C84" s="11"/>
      <c r="D84" s="7">
        <v>104.71</v>
      </c>
      <c r="E84" s="2"/>
      <c r="F84" s="6">
        <f t="shared" si="15"/>
        <v>8.7029727995321623E-4</v>
      </c>
      <c r="G84" s="2"/>
      <c r="H84" s="7">
        <v>189.485806</v>
      </c>
      <c r="I84" s="2"/>
      <c r="J84" s="6">
        <f t="shared" si="16"/>
        <v>4.7296604623183808E-4</v>
      </c>
      <c r="K84" s="2"/>
      <c r="L84" s="7">
        <f t="shared" si="17"/>
        <v>-84.775806000000003</v>
      </c>
      <c r="M84" s="2"/>
      <c r="N84" s="6">
        <f t="shared" si="18"/>
        <v>-0.44739924213637405</v>
      </c>
      <c r="O84" s="11"/>
      <c r="P84" s="7">
        <v>992.39</v>
      </c>
      <c r="Q84" s="2"/>
      <c r="R84" s="6">
        <f t="shared" si="19"/>
        <v>7.5689779642743396E-4</v>
      </c>
      <c r="S84" s="2"/>
      <c r="T84" s="7">
        <v>1426.4315879999999</v>
      </c>
      <c r="U84" s="2"/>
      <c r="V84" s="6">
        <f t="shared" si="20"/>
        <v>5.5465578895550177E-4</v>
      </c>
      <c r="W84" s="2"/>
      <c r="X84" s="7">
        <f t="shared" si="21"/>
        <v>-434.04158799999993</v>
      </c>
      <c r="Y84" s="2"/>
      <c r="Z84" s="6">
        <f t="shared" si="22"/>
        <v>-0.30428489641663764</v>
      </c>
    </row>
    <row r="85" spans="1:26" s="24" customFormat="1" hidden="1" outlineLevel="2" x14ac:dyDescent="0.25">
      <c r="A85" s="27"/>
      <c r="B85" s="11" t="str">
        <f>CONCATENATE("          ", "6115", " - ", "P.E.R.S.")</f>
        <v xml:space="preserve">          6115 - P.E.R.S.</v>
      </c>
      <c r="C85" s="11"/>
      <c r="D85" s="7">
        <v>1852.83</v>
      </c>
      <c r="E85" s="2"/>
      <c r="F85" s="6">
        <f t="shared" si="15"/>
        <v>1.5399798579082396E-2</v>
      </c>
      <c r="G85" s="2"/>
      <c r="H85" s="7">
        <v>1371.4115692307721</v>
      </c>
      <c r="I85" s="2"/>
      <c r="J85" s="6">
        <f t="shared" si="16"/>
        <v>3.4231118485765579E-3</v>
      </c>
      <c r="K85" s="2"/>
      <c r="L85" s="7">
        <f t="shared" si="17"/>
        <v>481.41843076922783</v>
      </c>
      <c r="M85" s="2"/>
      <c r="N85" s="6">
        <f t="shared" si="18"/>
        <v>0.35103862441473827</v>
      </c>
      <c r="O85" s="11"/>
      <c r="P85" s="7">
        <v>16248.030000000002</v>
      </c>
      <c r="Q85" s="2"/>
      <c r="R85" s="6">
        <f t="shared" si="19"/>
        <v>1.2392404300009917E-2</v>
      </c>
      <c r="S85" s="2"/>
      <c r="T85" s="7">
        <v>11813.816030769231</v>
      </c>
      <c r="U85" s="2"/>
      <c r="V85" s="6">
        <f t="shared" si="20"/>
        <v>4.5937018685269478E-3</v>
      </c>
      <c r="W85" s="2"/>
      <c r="X85" s="7">
        <f t="shared" si="21"/>
        <v>4434.2139692307719</v>
      </c>
      <c r="Y85" s="2"/>
      <c r="Z85" s="6">
        <f t="shared" si="22"/>
        <v>0.37534137637506854</v>
      </c>
    </row>
    <row r="86" spans="1:26" s="24" customFormat="1" hidden="1" outlineLevel="2" x14ac:dyDescent="0.25">
      <c r="A86" s="27"/>
      <c r="B86" s="11" t="str">
        <f>CONCATENATE("          ", "6116", " - ", "EDUCATIONAL BENEFITS")</f>
        <v xml:space="preserve">          6116 - EDUCATIONAL BENEFITS</v>
      </c>
      <c r="C86" s="11"/>
      <c r="D86" s="7"/>
      <c r="E86" s="2"/>
      <c r="F86" s="6">
        <f t="shared" si="15"/>
        <v>0</v>
      </c>
      <c r="G86" s="2"/>
      <c r="H86" s="7">
        <v>0</v>
      </c>
      <c r="I86" s="2"/>
      <c r="J86" s="6">
        <f t="shared" si="16"/>
        <v>0</v>
      </c>
      <c r="K86" s="2"/>
      <c r="L86" s="7">
        <f t="shared" si="17"/>
        <v>0</v>
      </c>
      <c r="M86" s="2"/>
      <c r="N86" s="6">
        <f t="shared" si="18"/>
        <v>0</v>
      </c>
      <c r="O86" s="11"/>
      <c r="P86" s="7"/>
      <c r="Q86" s="2"/>
      <c r="R86" s="6">
        <f t="shared" si="19"/>
        <v>0</v>
      </c>
      <c r="S86" s="2"/>
      <c r="T86" s="7">
        <v>0</v>
      </c>
      <c r="U86" s="2"/>
      <c r="V86" s="6">
        <f t="shared" si="20"/>
        <v>0</v>
      </c>
      <c r="W86" s="2"/>
      <c r="X86" s="7">
        <f t="shared" si="21"/>
        <v>0</v>
      </c>
      <c r="Y86" s="2"/>
      <c r="Z86" s="6">
        <f t="shared" si="22"/>
        <v>0</v>
      </c>
    </row>
    <row r="87" spans="1:26" s="24" customFormat="1" hidden="1" outlineLevel="2" x14ac:dyDescent="0.25">
      <c r="A87" s="27"/>
      <c r="B87" s="11" t="str">
        <f>CONCATENATE("          ", "6118", " - ", "VACATION")</f>
        <v xml:space="preserve">          6118 - VACATION</v>
      </c>
      <c r="C87" s="11"/>
      <c r="D87" s="7">
        <v>1633.18</v>
      </c>
      <c r="E87" s="2"/>
      <c r="F87" s="6">
        <f t="shared" si="15"/>
        <v>1.3574177362945219E-2</v>
      </c>
      <c r="G87" s="2"/>
      <c r="H87" s="7">
        <v>995.09230769230805</v>
      </c>
      <c r="I87" s="2"/>
      <c r="J87" s="6">
        <f t="shared" si="16"/>
        <v>2.4838001554847154E-3</v>
      </c>
      <c r="K87" s="2"/>
      <c r="L87" s="7">
        <f t="shared" si="17"/>
        <v>638.08769230769201</v>
      </c>
      <c r="M87" s="2"/>
      <c r="N87" s="6">
        <f t="shared" si="18"/>
        <v>0.64123467478857721</v>
      </c>
      <c r="O87" s="11"/>
      <c r="P87" s="7">
        <v>13629.41</v>
      </c>
      <c r="Q87" s="2"/>
      <c r="R87" s="6">
        <f t="shared" si="19"/>
        <v>1.0395177697886952E-2</v>
      </c>
      <c r="S87" s="2"/>
      <c r="T87" s="7">
        <v>8561.457692307682</v>
      </c>
      <c r="U87" s="2"/>
      <c r="V87" s="6">
        <f t="shared" si="20"/>
        <v>3.3290499950258158E-3</v>
      </c>
      <c r="W87" s="2"/>
      <c r="X87" s="7">
        <f t="shared" si="21"/>
        <v>5067.9523076923178</v>
      </c>
      <c r="Y87" s="2"/>
      <c r="Z87" s="6">
        <f t="shared" si="22"/>
        <v>0.59194969943562104</v>
      </c>
    </row>
    <row r="88" spans="1:26" s="24" customFormat="1" hidden="1" outlineLevel="2" x14ac:dyDescent="0.25">
      <c r="A88" s="27"/>
      <c r="B88" s="11" t="str">
        <f>CONCATENATE("          ", "6119", " - ", "SICK LEAVE")</f>
        <v xml:space="preserve">          6119 - SICK LEAVE</v>
      </c>
      <c r="C88" s="11"/>
      <c r="D88" s="7">
        <v>1105.6199999999999</v>
      </c>
      <c r="E88" s="2"/>
      <c r="F88" s="6">
        <f t="shared" si="15"/>
        <v>9.1893618437768592E-3</v>
      </c>
      <c r="G88" s="2"/>
      <c r="H88" s="7">
        <v>1606.4414076923049</v>
      </c>
      <c r="I88" s="2"/>
      <c r="J88" s="6">
        <f t="shared" si="16"/>
        <v>4.0097580770737931E-3</v>
      </c>
      <c r="K88" s="2"/>
      <c r="L88" s="7">
        <f t="shared" si="17"/>
        <v>-500.821407692305</v>
      </c>
      <c r="M88" s="2"/>
      <c r="N88" s="6">
        <f t="shared" si="18"/>
        <v>-0.31175827844960002</v>
      </c>
      <c r="O88" s="11"/>
      <c r="P88" s="7">
        <v>10131.02</v>
      </c>
      <c r="Q88" s="2"/>
      <c r="R88" s="6">
        <f t="shared" si="19"/>
        <v>7.7269487938837166E-3</v>
      </c>
      <c r="S88" s="2"/>
      <c r="T88" s="7">
        <v>13033.787492307669</v>
      </c>
      <c r="U88" s="2"/>
      <c r="V88" s="6">
        <f t="shared" si="20"/>
        <v>5.0680773935751211E-3</v>
      </c>
      <c r="W88" s="2"/>
      <c r="X88" s="7">
        <f t="shared" si="21"/>
        <v>-2902.7674923076684</v>
      </c>
      <c r="Y88" s="2"/>
      <c r="Z88" s="6">
        <f t="shared" si="22"/>
        <v>-0.22271097284813296</v>
      </c>
    </row>
    <row r="89" spans="1:26" s="24" customFormat="1" hidden="1" outlineLevel="2" x14ac:dyDescent="0.25">
      <c r="A89" s="27"/>
      <c r="B89" s="11" t="str">
        <f>CONCATENATE("          ", "6156", " - ", "EMPLOYEE MEALS")</f>
        <v xml:space="preserve">          6156 - EMPLOYEE MEALS</v>
      </c>
      <c r="C89" s="11"/>
      <c r="D89" s="7">
        <v>408.17</v>
      </c>
      <c r="E89" s="2"/>
      <c r="F89" s="6">
        <f t="shared" si="15"/>
        <v>3.3925054030990763E-3</v>
      </c>
      <c r="G89" s="2"/>
      <c r="H89" s="7">
        <v>875</v>
      </c>
      <c r="I89" s="2"/>
      <c r="J89" s="6">
        <f t="shared" si="16"/>
        <v>2.1840437507644151E-3</v>
      </c>
      <c r="K89" s="2"/>
      <c r="L89" s="7">
        <f t="shared" si="17"/>
        <v>-466.83</v>
      </c>
      <c r="M89" s="2"/>
      <c r="N89" s="6">
        <f t="shared" si="18"/>
        <v>-0.53351999999999999</v>
      </c>
      <c r="O89" s="11"/>
      <c r="P89" s="7">
        <v>3505.49</v>
      </c>
      <c r="Q89" s="2"/>
      <c r="R89" s="6">
        <f t="shared" si="19"/>
        <v>2.6736440879073804E-3</v>
      </c>
      <c r="S89" s="2"/>
      <c r="T89" s="7">
        <v>7000</v>
      </c>
      <c r="U89" s="2"/>
      <c r="V89" s="6">
        <f t="shared" si="20"/>
        <v>2.7218904540191047E-3</v>
      </c>
      <c r="W89" s="2"/>
      <c r="X89" s="7">
        <f t="shared" si="21"/>
        <v>-3494.51</v>
      </c>
      <c r="Y89" s="2"/>
      <c r="Z89" s="6">
        <f t="shared" si="22"/>
        <v>-0.49921571428571432</v>
      </c>
    </row>
    <row r="90" spans="1:26" s="28" customFormat="1" outlineLevel="1" collapsed="1" x14ac:dyDescent="0.25">
      <c r="A90" s="29"/>
      <c r="B90" s="14" t="str">
        <f>CONCATENATE("     ","*Payroll                                          ")</f>
        <v xml:space="preserve">     *Payroll                                          </v>
      </c>
      <c r="C90" s="14"/>
      <c r="D90" s="1">
        <f>SUM(OSRRefD22_1x_0)</f>
        <v>37229.65</v>
      </c>
      <c r="E90" s="1"/>
      <c r="F90" s="5">
        <f t="shared" ref="F90:F100" si="23">IF(D$12=0,0,D90/D$12)</f>
        <v>0.3094342768466265</v>
      </c>
      <c r="G90" s="1"/>
      <c r="H90" s="1">
        <f>SUM(OSRRefH22_1x_0)</f>
        <v>70787.001538461525</v>
      </c>
      <c r="I90" s="1"/>
      <c r="J90" s="5">
        <f t="shared" ref="J90:J100" si="24">IF(H$12=0,0,H90/H$12)</f>
        <v>0.17668789525191766</v>
      </c>
      <c r="K90" s="1"/>
      <c r="L90" s="1">
        <f t="shared" ref="L90:L100" si="25">+D90-H90</f>
        <v>-33557.351538461524</v>
      </c>
      <c r="M90" s="1"/>
      <c r="N90" s="5">
        <f t="shared" ref="N90:N100" si="26">IF(H90=0,0,L90/H90)</f>
        <v>-0.47406092657037346</v>
      </c>
      <c r="O90" s="14"/>
      <c r="P90" s="1">
        <f>SUM(OSRRefP22_1x_0)</f>
        <v>303652.44</v>
      </c>
      <c r="Q90" s="1"/>
      <c r="R90" s="5">
        <f t="shared" ref="R90:R100" si="27">IF(P$12=0,0,P90/P$12)</f>
        <v>0.23159631063978234</v>
      </c>
      <c r="S90" s="1"/>
      <c r="T90" s="1">
        <f>SUM(OSRRefT22_1x_0)</f>
        <v>530631.68596153846</v>
      </c>
      <c r="U90" s="1"/>
      <c r="V90" s="5">
        <f t="shared" ref="V90:V100" si="28">IF(T$12=0,0,T90/T$12)</f>
        <v>0.20633161723125354</v>
      </c>
      <c r="W90" s="1"/>
      <c r="X90" s="1">
        <f t="shared" ref="X90:X100" si="29">+P90-T90</f>
        <v>-226979.24596153846</v>
      </c>
      <c r="Y90" s="1"/>
      <c r="Z90" s="5">
        <f t="shared" ref="Z90:Z100" si="30">IF(T90=0,0,X90/T90)</f>
        <v>-0.42775290651977854</v>
      </c>
    </row>
    <row r="91" spans="1:26" s="24" customFormat="1" hidden="1" outlineLevel="2" x14ac:dyDescent="0.25">
      <c r="A91" s="27"/>
      <c r="B91" s="11" t="str">
        <f>CONCATENATE("          ", "6001", " - ", "ADMINISTRATIVE SALARIES")</f>
        <v xml:space="preserve">          6001 - ADMINISTRATIVE SALARIES</v>
      </c>
      <c r="C91" s="11"/>
      <c r="D91" s="7"/>
      <c r="E91" s="2"/>
      <c r="F91" s="6">
        <f t="shared" si="23"/>
        <v>0</v>
      </c>
      <c r="G91" s="2"/>
      <c r="H91" s="7">
        <v>0</v>
      </c>
      <c r="I91" s="2"/>
      <c r="J91" s="6">
        <f t="shared" si="24"/>
        <v>0</v>
      </c>
      <c r="K91" s="2"/>
      <c r="L91" s="7">
        <f t="shared" si="25"/>
        <v>0</v>
      </c>
      <c r="M91" s="2"/>
      <c r="N91" s="6">
        <f t="shared" si="26"/>
        <v>0</v>
      </c>
      <c r="O91" s="11"/>
      <c r="P91" s="7"/>
      <c r="Q91" s="2"/>
      <c r="R91" s="6">
        <f t="shared" si="27"/>
        <v>0</v>
      </c>
      <c r="S91" s="2"/>
      <c r="T91" s="7">
        <v>0</v>
      </c>
      <c r="U91" s="2"/>
      <c r="V91" s="6">
        <f t="shared" si="28"/>
        <v>0</v>
      </c>
      <c r="W91" s="2"/>
      <c r="X91" s="7">
        <f t="shared" si="29"/>
        <v>0</v>
      </c>
      <c r="Y91" s="2"/>
      <c r="Z91" s="6">
        <f t="shared" si="30"/>
        <v>0</v>
      </c>
    </row>
    <row r="92" spans="1:26" s="24" customFormat="1" hidden="1" outlineLevel="2" x14ac:dyDescent="0.25">
      <c r="A92" s="27"/>
      <c r="B92" s="11" t="str">
        <f>CONCATENATE("          ", "6002", " - ", "STAFF SALARIES")</f>
        <v xml:space="preserve">          6002 - STAFF SALARIES</v>
      </c>
      <c r="C92" s="11"/>
      <c r="D92" s="7">
        <v>18906.510000000002</v>
      </c>
      <c r="E92" s="2"/>
      <c r="F92" s="6">
        <f t="shared" si="23"/>
        <v>0.15714147862103223</v>
      </c>
      <c r="G92" s="2"/>
      <c r="H92" s="7">
        <v>14351.981538461519</v>
      </c>
      <c r="I92" s="2"/>
      <c r="J92" s="6">
        <f t="shared" si="24"/>
        <v>3.5823263531615017E-2</v>
      </c>
      <c r="K92" s="2"/>
      <c r="L92" s="7">
        <f t="shared" si="25"/>
        <v>4554.5284615384826</v>
      </c>
      <c r="M92" s="2"/>
      <c r="N92" s="6">
        <f t="shared" si="26"/>
        <v>0.3173449219770047</v>
      </c>
      <c r="O92" s="11"/>
      <c r="P92" s="7">
        <v>145810.06</v>
      </c>
      <c r="Q92" s="2"/>
      <c r="R92" s="6">
        <f t="shared" si="27"/>
        <v>0.11120961830626258</v>
      </c>
      <c r="S92" s="2"/>
      <c r="T92" s="7">
        <v>123632.95846153844</v>
      </c>
      <c r="U92" s="2"/>
      <c r="V92" s="6">
        <f t="shared" si="28"/>
        <v>4.8073624205514566E-2</v>
      </c>
      <c r="W92" s="2"/>
      <c r="X92" s="7">
        <f t="shared" si="29"/>
        <v>22177.10153846156</v>
      </c>
      <c r="Y92" s="2"/>
      <c r="Z92" s="6">
        <f t="shared" si="30"/>
        <v>0.17937855580282616</v>
      </c>
    </row>
    <row r="93" spans="1:26" s="24" customFormat="1" hidden="1" outlineLevel="2" x14ac:dyDescent="0.25">
      <c r="A93" s="27"/>
      <c r="B93" s="11" t="str">
        <f>CONCATENATE("          ", "6003", " - ", "STAFF HOURLY-9 MONTH")</f>
        <v xml:space="preserve">          6003 - STAFF HOURLY-9 MONTH</v>
      </c>
      <c r="C93" s="11"/>
      <c r="D93" s="7"/>
      <c r="E93" s="2"/>
      <c r="F93" s="6">
        <f t="shared" si="23"/>
        <v>0</v>
      </c>
      <c r="G93" s="2"/>
      <c r="H93" s="7">
        <v>0</v>
      </c>
      <c r="I93" s="2"/>
      <c r="J93" s="6">
        <f t="shared" si="24"/>
        <v>0</v>
      </c>
      <c r="K93" s="2"/>
      <c r="L93" s="7">
        <f t="shared" si="25"/>
        <v>0</v>
      </c>
      <c r="M93" s="2"/>
      <c r="N93" s="6">
        <f t="shared" si="26"/>
        <v>0</v>
      </c>
      <c r="O93" s="11"/>
      <c r="P93" s="7"/>
      <c r="Q93" s="2"/>
      <c r="R93" s="6">
        <f t="shared" si="27"/>
        <v>0</v>
      </c>
      <c r="S93" s="2"/>
      <c r="T93" s="7">
        <v>0</v>
      </c>
      <c r="U93" s="2"/>
      <c r="V93" s="6">
        <f t="shared" si="28"/>
        <v>0</v>
      </c>
      <c r="W93" s="2"/>
      <c r="X93" s="7">
        <f t="shared" si="29"/>
        <v>0</v>
      </c>
      <c r="Y93" s="2"/>
      <c r="Z93" s="6">
        <f t="shared" si="30"/>
        <v>0</v>
      </c>
    </row>
    <row r="94" spans="1:26" s="24" customFormat="1" hidden="1" outlineLevel="2" x14ac:dyDescent="0.25">
      <c r="A94" s="27"/>
      <c r="B94" s="11" t="str">
        <f>CONCATENATE("          ", "6004", " - ", "STAFF HOURLY")</f>
        <v xml:space="preserve">          6004 - STAFF HOURLY</v>
      </c>
      <c r="C94" s="11"/>
      <c r="D94" s="7">
        <v>3620.72</v>
      </c>
      <c r="E94" s="2"/>
      <c r="F94" s="6">
        <f t="shared" si="23"/>
        <v>3.0093618254915567E-2</v>
      </c>
      <c r="G94" s="2"/>
      <c r="H94" s="7">
        <v>6856.71</v>
      </c>
      <c r="I94" s="2"/>
      <c r="J94" s="6">
        <f t="shared" si="24"/>
        <v>1.7114691001490143E-2</v>
      </c>
      <c r="K94" s="2"/>
      <c r="L94" s="7">
        <f t="shared" si="25"/>
        <v>-3235.9900000000002</v>
      </c>
      <c r="M94" s="2"/>
      <c r="N94" s="6">
        <f t="shared" si="26"/>
        <v>-0.47194499986144961</v>
      </c>
      <c r="O94" s="11"/>
      <c r="P94" s="7">
        <v>49283.39</v>
      </c>
      <c r="Q94" s="2"/>
      <c r="R94" s="6">
        <f t="shared" si="27"/>
        <v>3.7588538066157286E-2</v>
      </c>
      <c r="S94" s="2"/>
      <c r="T94" s="7">
        <v>58698.097500000003</v>
      </c>
      <c r="U94" s="2"/>
      <c r="V94" s="6">
        <f t="shared" si="28"/>
        <v>2.2824255893476097E-2</v>
      </c>
      <c r="W94" s="2"/>
      <c r="X94" s="7">
        <f t="shared" si="29"/>
        <v>-9414.7075000000041</v>
      </c>
      <c r="Y94" s="2"/>
      <c r="Z94" s="6">
        <f t="shared" si="30"/>
        <v>-0.16039203825984316</v>
      </c>
    </row>
    <row r="95" spans="1:26" s="24" customFormat="1" hidden="1" outlineLevel="2" x14ac:dyDescent="0.25">
      <c r="A95" s="27"/>
      <c r="B95" s="11" t="str">
        <f>CONCATENATE("          ", "6005", " - ", "TEMPORARY WAGES-HOURLY")</f>
        <v xml:space="preserve">          6005 - TEMPORARY WAGES-HOURLY</v>
      </c>
      <c r="C95" s="11"/>
      <c r="D95" s="7">
        <v>6204.5</v>
      </c>
      <c r="E95" s="2"/>
      <c r="F95" s="6">
        <f t="shared" si="23"/>
        <v>5.1568708561452875E-2</v>
      </c>
      <c r="G95" s="2"/>
      <c r="H95" s="7">
        <v>0</v>
      </c>
      <c r="I95" s="2"/>
      <c r="J95" s="6">
        <f t="shared" si="24"/>
        <v>0</v>
      </c>
      <c r="K95" s="2"/>
      <c r="L95" s="7">
        <f t="shared" si="25"/>
        <v>6204.5</v>
      </c>
      <c r="M95" s="2"/>
      <c r="N95" s="6">
        <f t="shared" si="26"/>
        <v>0</v>
      </c>
      <c r="O95" s="11"/>
      <c r="P95" s="7">
        <v>43480.44</v>
      </c>
      <c r="Q95" s="2"/>
      <c r="R95" s="6">
        <f t="shared" si="27"/>
        <v>3.3162616737064318E-2</v>
      </c>
      <c r="S95" s="2"/>
      <c r="T95" s="7">
        <v>0</v>
      </c>
      <c r="U95" s="2"/>
      <c r="V95" s="6">
        <f t="shared" si="28"/>
        <v>0</v>
      </c>
      <c r="W95" s="2"/>
      <c r="X95" s="7">
        <f t="shared" si="29"/>
        <v>43480.44</v>
      </c>
      <c r="Y95" s="2"/>
      <c r="Z95" s="6">
        <f t="shared" si="30"/>
        <v>0</v>
      </c>
    </row>
    <row r="96" spans="1:26" s="24" customFormat="1" hidden="1" outlineLevel="2" x14ac:dyDescent="0.25">
      <c r="A96" s="27"/>
      <c r="B96" s="11" t="str">
        <f>CONCATENATE("          ", "6006", " - ", "TEMPORARY PART TIME")</f>
        <v xml:space="preserve">          6006 - TEMPORARY PART TIME</v>
      </c>
      <c r="C96" s="11"/>
      <c r="D96" s="7">
        <v>1294.42</v>
      </c>
      <c r="E96" s="2"/>
      <c r="F96" s="6">
        <f t="shared" si="23"/>
        <v>1.075857325104615E-2</v>
      </c>
      <c r="G96" s="2"/>
      <c r="H96" s="7">
        <v>0</v>
      </c>
      <c r="I96" s="2"/>
      <c r="J96" s="6">
        <f t="shared" si="24"/>
        <v>0</v>
      </c>
      <c r="K96" s="2"/>
      <c r="L96" s="7">
        <f t="shared" si="25"/>
        <v>1294.42</v>
      </c>
      <c r="M96" s="2"/>
      <c r="N96" s="6">
        <f t="shared" si="26"/>
        <v>0</v>
      </c>
      <c r="O96" s="11"/>
      <c r="P96" s="7">
        <v>1294.42</v>
      </c>
      <c r="Q96" s="2"/>
      <c r="R96" s="6">
        <f t="shared" si="27"/>
        <v>9.8725666890194289E-4</v>
      </c>
      <c r="S96" s="2"/>
      <c r="T96" s="7">
        <v>0</v>
      </c>
      <c r="U96" s="2"/>
      <c r="V96" s="6">
        <f t="shared" si="28"/>
        <v>0</v>
      </c>
      <c r="W96" s="2"/>
      <c r="X96" s="7">
        <f t="shared" si="29"/>
        <v>1294.42</v>
      </c>
      <c r="Y96" s="2"/>
      <c r="Z96" s="6">
        <f t="shared" si="30"/>
        <v>0</v>
      </c>
    </row>
    <row r="97" spans="1:26" s="24" customFormat="1" hidden="1" outlineLevel="2" x14ac:dyDescent="0.25">
      <c r="A97" s="27"/>
      <c r="B97" s="11" t="str">
        <f>CONCATENATE("          ", "6007", " - ", "STUDENT HOURLY")</f>
        <v xml:space="preserve">          6007 - STUDENT HOURLY</v>
      </c>
      <c r="C97" s="11"/>
      <c r="D97" s="7">
        <v>6364.48</v>
      </c>
      <c r="E97" s="2"/>
      <c r="F97" s="6">
        <f t="shared" si="23"/>
        <v>5.2898382507082856E-2</v>
      </c>
      <c r="G97" s="2"/>
      <c r="H97" s="7">
        <v>0</v>
      </c>
      <c r="I97" s="2"/>
      <c r="J97" s="6">
        <f t="shared" si="24"/>
        <v>0</v>
      </c>
      <c r="K97" s="2"/>
      <c r="L97" s="7">
        <f t="shared" si="25"/>
        <v>6364.48</v>
      </c>
      <c r="M97" s="2"/>
      <c r="N97" s="6">
        <f t="shared" si="26"/>
        <v>0</v>
      </c>
      <c r="O97" s="11"/>
      <c r="P97" s="7">
        <v>57452.140000000007</v>
      </c>
      <c r="Q97" s="2"/>
      <c r="R97" s="6">
        <f t="shared" si="27"/>
        <v>4.3818859688268159E-2</v>
      </c>
      <c r="S97" s="2"/>
      <c r="T97" s="7">
        <v>80431.5</v>
      </c>
      <c r="U97" s="2"/>
      <c r="V97" s="6">
        <f t="shared" si="28"/>
        <v>3.127510457891966E-2</v>
      </c>
      <c r="W97" s="2"/>
      <c r="X97" s="7">
        <f t="shared" si="29"/>
        <v>-22979.359999999993</v>
      </c>
      <c r="Y97" s="2"/>
      <c r="Z97" s="6">
        <f t="shared" si="30"/>
        <v>-0.28570100023000933</v>
      </c>
    </row>
    <row r="98" spans="1:26" s="24" customFormat="1" hidden="1" outlineLevel="2" x14ac:dyDescent="0.25">
      <c r="A98" s="27"/>
      <c r="B98" s="11" t="str">
        <f>CONCATENATE("          ", "6008", " - ", "STUDENT HOURLY-FICA EXEMPT")</f>
        <v xml:space="preserve">          6008 - STUDENT HOURLY-FICA EXEMPT</v>
      </c>
      <c r="C98" s="11"/>
      <c r="D98" s="7">
        <v>839.02</v>
      </c>
      <c r="E98" s="2"/>
      <c r="F98" s="6">
        <f t="shared" si="23"/>
        <v>6.9735156510968149E-3</v>
      </c>
      <c r="G98" s="2"/>
      <c r="H98" s="7">
        <v>49578.310000000005</v>
      </c>
      <c r="I98" s="2"/>
      <c r="J98" s="6">
        <f t="shared" si="24"/>
        <v>0.1237499407188125</v>
      </c>
      <c r="K98" s="2"/>
      <c r="L98" s="7">
        <f t="shared" si="25"/>
        <v>-48739.290000000008</v>
      </c>
      <c r="M98" s="2"/>
      <c r="N98" s="6">
        <f t="shared" si="26"/>
        <v>-0.98307687373772934</v>
      </c>
      <c r="O98" s="11"/>
      <c r="P98" s="7">
        <v>6331.99</v>
      </c>
      <c r="Q98" s="2"/>
      <c r="R98" s="6">
        <f t="shared" si="27"/>
        <v>4.8294211731280514E-3</v>
      </c>
      <c r="S98" s="2"/>
      <c r="T98" s="7">
        <v>267869.13</v>
      </c>
      <c r="U98" s="2"/>
      <c r="V98" s="6">
        <f t="shared" si="28"/>
        <v>0.10415863255334322</v>
      </c>
      <c r="W98" s="2"/>
      <c r="X98" s="7">
        <f t="shared" si="29"/>
        <v>-261537.14</v>
      </c>
      <c r="Y98" s="2"/>
      <c r="Z98" s="6">
        <f t="shared" si="30"/>
        <v>-0.97636162853106667</v>
      </c>
    </row>
    <row r="99" spans="1:26" s="24" customFormat="1" hidden="1" outlineLevel="2" x14ac:dyDescent="0.25">
      <c r="A99" s="27"/>
      <c r="B99" s="11" t="str">
        <f>CONCATENATE("          ", "6009", " - ", "TEMPORARY-SEASONAL")</f>
        <v xml:space="preserve">          6009 - TEMPORARY-SEASONAL</v>
      </c>
      <c r="C99" s="11"/>
      <c r="D99" s="7"/>
      <c r="E99" s="2"/>
      <c r="F99" s="6">
        <f t="shared" si="23"/>
        <v>0</v>
      </c>
      <c r="G99" s="2"/>
      <c r="H99" s="7">
        <v>0</v>
      </c>
      <c r="I99" s="2"/>
      <c r="J99" s="6">
        <f t="shared" si="24"/>
        <v>0</v>
      </c>
      <c r="K99" s="2"/>
      <c r="L99" s="7">
        <f t="shared" si="25"/>
        <v>0</v>
      </c>
      <c r="M99" s="2"/>
      <c r="N99" s="6">
        <f t="shared" si="26"/>
        <v>0</v>
      </c>
      <c r="O99" s="11"/>
      <c r="P99" s="7"/>
      <c r="Q99" s="2"/>
      <c r="R99" s="6">
        <f t="shared" si="27"/>
        <v>0</v>
      </c>
      <c r="S99" s="2"/>
      <c r="T99" s="7">
        <v>0</v>
      </c>
      <c r="U99" s="2"/>
      <c r="V99" s="6">
        <f t="shared" si="28"/>
        <v>0</v>
      </c>
      <c r="W99" s="2"/>
      <c r="X99" s="7">
        <f t="shared" si="29"/>
        <v>0</v>
      </c>
      <c r="Y99" s="2"/>
      <c r="Z99" s="6">
        <f t="shared" si="30"/>
        <v>0</v>
      </c>
    </row>
    <row r="100" spans="1:26" s="24" customFormat="1" hidden="1" outlineLevel="2" x14ac:dyDescent="0.25">
      <c r="A100" s="27"/>
      <c r="B100" s="11" t="str">
        <f>CONCATENATE("          ", "6010", " - ", "GRATUITY")</f>
        <v xml:space="preserve">          6010 - GRATUITY</v>
      </c>
      <c r="C100" s="11"/>
      <c r="D100" s="7"/>
      <c r="E100" s="2"/>
      <c r="F100" s="6">
        <f t="shared" si="23"/>
        <v>0</v>
      </c>
      <c r="G100" s="2"/>
      <c r="H100" s="7">
        <v>0</v>
      </c>
      <c r="I100" s="2"/>
      <c r="J100" s="6">
        <f t="shared" si="24"/>
        <v>0</v>
      </c>
      <c r="K100" s="2"/>
      <c r="L100" s="7">
        <f t="shared" si="25"/>
        <v>0</v>
      </c>
      <c r="M100" s="2"/>
      <c r="N100" s="6">
        <f t="shared" si="26"/>
        <v>0</v>
      </c>
      <c r="O100" s="11"/>
      <c r="P100" s="7"/>
      <c r="Q100" s="2"/>
      <c r="R100" s="6">
        <f t="shared" si="27"/>
        <v>0</v>
      </c>
      <c r="S100" s="2"/>
      <c r="T100" s="7">
        <v>0</v>
      </c>
      <c r="U100" s="2"/>
      <c r="V100" s="6">
        <f t="shared" si="28"/>
        <v>0</v>
      </c>
      <c r="W100" s="2"/>
      <c r="X100" s="7">
        <f t="shared" si="29"/>
        <v>0</v>
      </c>
      <c r="Y100" s="2"/>
      <c r="Z100" s="6">
        <f t="shared" si="30"/>
        <v>0</v>
      </c>
    </row>
    <row r="101" spans="1:26" s="28" customFormat="1" outlineLevel="1" collapsed="1" x14ac:dyDescent="0.25">
      <c r="A101" s="29"/>
      <c r="B101" s="14" t="str">
        <f>CONCATENATE("     ","Advertising/Promo                                 ")</f>
        <v xml:space="preserve">     Advertising/Promo                                 </v>
      </c>
      <c r="C101" s="14"/>
      <c r="D101" s="1">
        <f>SUM(OSRRefD22_2x_0)</f>
        <v>114.65</v>
      </c>
      <c r="E101" s="1"/>
      <c r="F101" s="5">
        <f t="shared" ref="F101:F115" si="31">IF(D$12=0,0,D101/D$12)</f>
        <v>9.5291360086559307E-4</v>
      </c>
      <c r="G101" s="1"/>
      <c r="H101" s="1">
        <f>SUM(OSRRefH22_2x_0)</f>
        <v>630</v>
      </c>
      <c r="I101" s="1"/>
      <c r="J101" s="5">
        <f t="shared" ref="J101:J115" si="32">IF(H$12=0,0,H101/H$12)</f>
        <v>1.5725115005503791E-3</v>
      </c>
      <c r="K101" s="1"/>
      <c r="L101" s="1">
        <f t="shared" ref="L101:L115" si="33">+D101-H101</f>
        <v>-515.35</v>
      </c>
      <c r="M101" s="1"/>
      <c r="N101" s="5">
        <f t="shared" ref="N101:N115" si="34">IF(H101=0,0,L101/H101)</f>
        <v>-0.81801587301587309</v>
      </c>
      <c r="O101" s="14"/>
      <c r="P101" s="1">
        <f>SUM(OSRRefP22_2x_0)</f>
        <v>13799.52</v>
      </c>
      <c r="Q101" s="1"/>
      <c r="R101" s="5">
        <f t="shared" ref="R101:R115" si="35">IF(P$12=0,0,P101/P$12)</f>
        <v>1.0524920928018525E-2</v>
      </c>
      <c r="S101" s="1"/>
      <c r="T101" s="1">
        <f>SUM(OSRRefT22_2x_0)</f>
        <v>6040</v>
      </c>
      <c r="U101" s="1"/>
      <c r="V101" s="5">
        <f t="shared" ref="V101:V115" si="36">IF(T$12=0,0,T101/T$12)</f>
        <v>2.3486026203250561E-3</v>
      </c>
      <c r="W101" s="1"/>
      <c r="X101" s="1">
        <f t="shared" ref="X101:X115" si="37">+P101-T101</f>
        <v>7759.52</v>
      </c>
      <c r="Y101" s="1"/>
      <c r="Z101" s="5">
        <f t="shared" ref="Z101:Z115" si="38">IF(T101=0,0,X101/T101)</f>
        <v>1.2846887417218544</v>
      </c>
    </row>
    <row r="102" spans="1:26" s="24" customFormat="1" hidden="1" outlineLevel="2" x14ac:dyDescent="0.25">
      <c r="A102" s="27"/>
      <c r="B102" s="11" t="str">
        <f>CONCATENATE("          ", "6362", " - ", "ADVERTISING EXPENSE")</f>
        <v xml:space="preserve">          6362 - ADVERTISING EXPENSE</v>
      </c>
      <c r="C102" s="11"/>
      <c r="D102" s="7">
        <v>114.65</v>
      </c>
      <c r="E102" s="2"/>
      <c r="F102" s="6">
        <f t="shared" si="31"/>
        <v>9.5291360086559307E-4</v>
      </c>
      <c r="G102" s="2"/>
      <c r="H102" s="7">
        <v>630</v>
      </c>
      <c r="I102" s="2"/>
      <c r="J102" s="6">
        <f t="shared" si="32"/>
        <v>1.5725115005503791E-3</v>
      </c>
      <c r="K102" s="2"/>
      <c r="L102" s="7">
        <f t="shared" si="33"/>
        <v>-515.35</v>
      </c>
      <c r="M102" s="2"/>
      <c r="N102" s="6">
        <f t="shared" si="34"/>
        <v>-0.81801587301587309</v>
      </c>
      <c r="O102" s="11"/>
      <c r="P102" s="7">
        <v>13799.52</v>
      </c>
      <c r="Q102" s="2"/>
      <c r="R102" s="6">
        <f t="shared" si="35"/>
        <v>1.0524920928018525E-2</v>
      </c>
      <c r="S102" s="2"/>
      <c r="T102" s="7">
        <v>6040</v>
      </c>
      <c r="U102" s="2"/>
      <c r="V102" s="6">
        <f t="shared" si="36"/>
        <v>2.3486026203250561E-3</v>
      </c>
      <c r="W102" s="2"/>
      <c r="X102" s="7">
        <f t="shared" si="37"/>
        <v>7759.52</v>
      </c>
      <c r="Y102" s="2"/>
      <c r="Z102" s="6">
        <f t="shared" si="38"/>
        <v>1.2846887417218544</v>
      </c>
    </row>
    <row r="103" spans="1:26" s="28" customFormat="1" outlineLevel="1" collapsed="1" x14ac:dyDescent="0.25">
      <c r="A103" s="29"/>
      <c r="B103" s="14" t="str">
        <f>CONCATENATE("     ","Bad Debts/Over/Short                              ")</f>
        <v xml:space="preserve">     Bad Debts/Over/Short                              </v>
      </c>
      <c r="C103" s="14"/>
      <c r="D103" s="1">
        <f>SUM(OSRRefD22_3x_0)</f>
        <v>-1.1499999999999999</v>
      </c>
      <c r="E103" s="1"/>
      <c r="F103" s="5">
        <f t="shared" si="31"/>
        <v>-9.5582262624983163E-6</v>
      </c>
      <c r="G103" s="1"/>
      <c r="H103" s="1">
        <f>SUM(OSRRefH22_3x_0)</f>
        <v>10</v>
      </c>
      <c r="I103" s="1"/>
      <c r="J103" s="5">
        <f t="shared" si="32"/>
        <v>2.4960500008736175E-5</v>
      </c>
      <c r="K103" s="1"/>
      <c r="L103" s="1">
        <f t="shared" si="33"/>
        <v>-11.15</v>
      </c>
      <c r="M103" s="1"/>
      <c r="N103" s="5">
        <f t="shared" si="34"/>
        <v>-1.115</v>
      </c>
      <c r="O103" s="14"/>
      <c r="P103" s="1">
        <f>SUM(OSRRefP22_3x_0)</f>
        <v>-2.95</v>
      </c>
      <c r="Q103" s="1"/>
      <c r="R103" s="5">
        <f t="shared" si="35"/>
        <v>-2.2499707770744667E-6</v>
      </c>
      <c r="S103" s="1"/>
      <c r="T103" s="1">
        <f>SUM(OSRRefT22_3x_0)</f>
        <v>80</v>
      </c>
      <c r="U103" s="1"/>
      <c r="V103" s="5">
        <f t="shared" si="36"/>
        <v>3.1107319474504054E-5</v>
      </c>
      <c r="W103" s="1"/>
      <c r="X103" s="1">
        <f t="shared" si="37"/>
        <v>-82.95</v>
      </c>
      <c r="Y103" s="1"/>
      <c r="Z103" s="5">
        <f t="shared" si="38"/>
        <v>-1.036875</v>
      </c>
    </row>
    <row r="104" spans="1:26" s="24" customFormat="1" hidden="1" outlineLevel="2" x14ac:dyDescent="0.25">
      <c r="A104" s="27"/>
      <c r="B104" s="11" t="str">
        <f>CONCATENATE("          ", "6272", " - ", "CASH (OVER/SHORT)")</f>
        <v xml:space="preserve">          6272 - CASH (OVER/SHORT)</v>
      </c>
      <c r="C104" s="11"/>
      <c r="D104" s="7">
        <v>-1.1499999999999999</v>
      </c>
      <c r="E104" s="2"/>
      <c r="F104" s="6">
        <f t="shared" si="31"/>
        <v>-9.5582262624983163E-6</v>
      </c>
      <c r="G104" s="2"/>
      <c r="H104" s="7">
        <v>10</v>
      </c>
      <c r="I104" s="2"/>
      <c r="J104" s="6">
        <f t="shared" si="32"/>
        <v>2.4960500008736175E-5</v>
      </c>
      <c r="K104" s="2"/>
      <c r="L104" s="7">
        <f t="shared" si="33"/>
        <v>-11.15</v>
      </c>
      <c r="M104" s="2"/>
      <c r="N104" s="6">
        <f t="shared" si="34"/>
        <v>-1.115</v>
      </c>
      <c r="O104" s="11"/>
      <c r="P104" s="7">
        <v>-2.95</v>
      </c>
      <c r="Q104" s="2"/>
      <c r="R104" s="6">
        <f t="shared" si="35"/>
        <v>-2.2499707770744667E-6</v>
      </c>
      <c r="S104" s="2"/>
      <c r="T104" s="7">
        <v>80</v>
      </c>
      <c r="U104" s="2"/>
      <c r="V104" s="6">
        <f t="shared" si="36"/>
        <v>3.1107319474504054E-5</v>
      </c>
      <c r="W104" s="2"/>
      <c r="X104" s="7">
        <f t="shared" si="37"/>
        <v>-82.95</v>
      </c>
      <c r="Y104" s="2"/>
      <c r="Z104" s="6">
        <f t="shared" si="38"/>
        <v>-1.036875</v>
      </c>
    </row>
    <row r="105" spans="1:26" s="28" customFormat="1" outlineLevel="1" collapsed="1" x14ac:dyDescent="0.25">
      <c r="A105" s="29"/>
      <c r="B105" s="14" t="str">
        <f>CONCATENATE("     ","Bank/card Fees                                    ")</f>
        <v xml:space="preserve">     Bank/card Fees                                    </v>
      </c>
      <c r="C105" s="14"/>
      <c r="D105" s="1">
        <f>SUM(OSRRefD22_4x_0)</f>
        <v>308.72000000000003</v>
      </c>
      <c r="E105" s="1"/>
      <c r="F105" s="5">
        <f t="shared" si="31"/>
        <v>2.565926618920418E-3</v>
      </c>
      <c r="G105" s="1"/>
      <c r="H105" s="1">
        <f>SUM(OSRRefH22_4x_0)</f>
        <v>600</v>
      </c>
      <c r="I105" s="1"/>
      <c r="J105" s="5">
        <f t="shared" si="32"/>
        <v>1.4976300005241706E-3</v>
      </c>
      <c r="K105" s="1"/>
      <c r="L105" s="1">
        <f t="shared" si="33"/>
        <v>-291.27999999999997</v>
      </c>
      <c r="M105" s="1"/>
      <c r="N105" s="5">
        <f t="shared" si="34"/>
        <v>-0.4854666666666666</v>
      </c>
      <c r="O105" s="14"/>
      <c r="P105" s="1">
        <f>SUM(OSRRefP22_4x_0)</f>
        <v>2867.73</v>
      </c>
      <c r="Q105" s="1"/>
      <c r="R105" s="5">
        <f t="shared" si="35"/>
        <v>2.1872232869626306E-3</v>
      </c>
      <c r="S105" s="1"/>
      <c r="T105" s="1">
        <f>SUM(OSRRefT22_4x_0)</f>
        <v>5586</v>
      </c>
      <c r="U105" s="1"/>
      <c r="V105" s="5">
        <f t="shared" si="36"/>
        <v>2.1720685823072455E-3</v>
      </c>
      <c r="W105" s="1"/>
      <c r="X105" s="1">
        <f t="shared" si="37"/>
        <v>-2718.27</v>
      </c>
      <c r="Y105" s="1"/>
      <c r="Z105" s="5">
        <f t="shared" si="38"/>
        <v>-0.4866219119226638</v>
      </c>
    </row>
    <row r="106" spans="1:26" s="24" customFormat="1" hidden="1" outlineLevel="2" x14ac:dyDescent="0.25">
      <c r="A106" s="27"/>
      <c r="B106" s="11" t="str">
        <f>CONCATENATE("          ", "6381", " - ", "BANK/CREDIT CARD FEES")</f>
        <v xml:space="preserve">          6381 - BANK/CREDIT CARD FEES</v>
      </c>
      <c r="C106" s="11"/>
      <c r="D106" s="7">
        <v>308.72000000000003</v>
      </c>
      <c r="E106" s="2"/>
      <c r="F106" s="6">
        <f t="shared" si="31"/>
        <v>2.565926618920418E-3</v>
      </c>
      <c r="G106" s="2"/>
      <c r="H106" s="7">
        <v>600</v>
      </c>
      <c r="I106" s="2"/>
      <c r="J106" s="6">
        <f t="shared" si="32"/>
        <v>1.4976300005241706E-3</v>
      </c>
      <c r="K106" s="2"/>
      <c r="L106" s="7">
        <f t="shared" si="33"/>
        <v>-291.27999999999997</v>
      </c>
      <c r="M106" s="2"/>
      <c r="N106" s="6">
        <f t="shared" si="34"/>
        <v>-0.4854666666666666</v>
      </c>
      <c r="O106" s="11"/>
      <c r="P106" s="7">
        <v>2867.73</v>
      </c>
      <c r="Q106" s="2"/>
      <c r="R106" s="6">
        <f t="shared" si="35"/>
        <v>2.1872232869626306E-3</v>
      </c>
      <c r="S106" s="2"/>
      <c r="T106" s="7">
        <v>5586</v>
      </c>
      <c r="U106" s="2"/>
      <c r="V106" s="6">
        <f t="shared" si="36"/>
        <v>2.1720685823072455E-3</v>
      </c>
      <c r="W106" s="2"/>
      <c r="X106" s="7">
        <f t="shared" si="37"/>
        <v>-2718.27</v>
      </c>
      <c r="Y106" s="2"/>
      <c r="Z106" s="6">
        <f t="shared" si="38"/>
        <v>-0.4866219119226638</v>
      </c>
    </row>
    <row r="107" spans="1:26" s="28" customFormat="1" outlineLevel="1" collapsed="1" x14ac:dyDescent="0.25">
      <c r="A107" s="29"/>
      <c r="B107" s="14" t="str">
        <f>CONCATENATE("     ","Discounts and Markdowns                           ")</f>
        <v xml:space="preserve">     Discounts and Markdowns                           </v>
      </c>
      <c r="C107" s="14"/>
      <c r="D107" s="1">
        <f>SUM(OSRRefD22_5x_0)</f>
        <v>0</v>
      </c>
      <c r="E107" s="1"/>
      <c r="F107" s="5">
        <f t="shared" si="31"/>
        <v>0</v>
      </c>
      <c r="G107" s="1"/>
      <c r="H107" s="1">
        <f>SUM(OSRRefH22_5x_0)</f>
        <v>31081</v>
      </c>
      <c r="I107" s="1"/>
      <c r="J107" s="5">
        <f t="shared" si="32"/>
        <v>7.7579730077152909E-2</v>
      </c>
      <c r="K107" s="1"/>
      <c r="L107" s="1">
        <f t="shared" si="33"/>
        <v>-31081</v>
      </c>
      <c r="M107" s="1"/>
      <c r="N107" s="5">
        <f t="shared" si="34"/>
        <v>-1</v>
      </c>
      <c r="O107" s="14"/>
      <c r="P107" s="1">
        <f>SUM(OSRRefP22_5x_0)</f>
        <v>0</v>
      </c>
      <c r="Q107" s="1"/>
      <c r="R107" s="5">
        <f t="shared" si="35"/>
        <v>0</v>
      </c>
      <c r="S107" s="1"/>
      <c r="T107" s="1">
        <f>SUM(OSRRefT22_5x_0)</f>
        <v>202450</v>
      </c>
      <c r="U107" s="1"/>
      <c r="V107" s="5">
        <f t="shared" si="36"/>
        <v>7.8720960345166818E-2</v>
      </c>
      <c r="W107" s="1"/>
      <c r="X107" s="1">
        <f t="shared" si="37"/>
        <v>-202450</v>
      </c>
      <c r="Y107" s="1"/>
      <c r="Z107" s="5">
        <f t="shared" si="38"/>
        <v>-1</v>
      </c>
    </row>
    <row r="108" spans="1:26" s="24" customFormat="1" hidden="1" outlineLevel="2" x14ac:dyDescent="0.25">
      <c r="A108" s="27"/>
      <c r="B108" s="11" t="str">
        <f>CONCATENATE("          ", "6382", " - ", "DISCOUNTS/MARK DOWNS")</f>
        <v xml:space="preserve">          6382 - DISCOUNTS/MARK DOWNS</v>
      </c>
      <c r="C108" s="11"/>
      <c r="D108" s="7"/>
      <c r="E108" s="2"/>
      <c r="F108" s="6">
        <f t="shared" si="31"/>
        <v>0</v>
      </c>
      <c r="G108" s="2"/>
      <c r="H108" s="7">
        <v>31081</v>
      </c>
      <c r="I108" s="2"/>
      <c r="J108" s="6">
        <f t="shared" si="32"/>
        <v>7.7579730077152909E-2</v>
      </c>
      <c r="K108" s="2"/>
      <c r="L108" s="7">
        <f t="shared" si="33"/>
        <v>-31081</v>
      </c>
      <c r="M108" s="2"/>
      <c r="N108" s="6">
        <f t="shared" si="34"/>
        <v>-1</v>
      </c>
      <c r="O108" s="11"/>
      <c r="P108" s="7">
        <v>0</v>
      </c>
      <c r="Q108" s="2"/>
      <c r="R108" s="6">
        <f t="shared" si="35"/>
        <v>0</v>
      </c>
      <c r="S108" s="2"/>
      <c r="T108" s="7">
        <v>202450</v>
      </c>
      <c r="U108" s="2"/>
      <c r="V108" s="6">
        <f t="shared" si="36"/>
        <v>7.8720960345166818E-2</v>
      </c>
      <c r="W108" s="2"/>
      <c r="X108" s="7">
        <f t="shared" si="37"/>
        <v>-202450</v>
      </c>
      <c r="Y108" s="2"/>
      <c r="Z108" s="6">
        <f t="shared" si="38"/>
        <v>-1</v>
      </c>
    </row>
    <row r="109" spans="1:26" s="28" customFormat="1" outlineLevel="1" collapsed="1" x14ac:dyDescent="0.25">
      <c r="A109" s="29"/>
      <c r="B109" s="14" t="str">
        <f>CONCATENATE("     ","Donations                                         ")</f>
        <v xml:space="preserve">     Donations                                         </v>
      </c>
      <c r="C109" s="14"/>
      <c r="D109" s="1">
        <f>SUM(OSRRefD22_6x_0)</f>
        <v>0</v>
      </c>
      <c r="E109" s="1"/>
      <c r="F109" s="5">
        <f t="shared" si="31"/>
        <v>0</v>
      </c>
      <c r="G109" s="1"/>
      <c r="H109" s="1">
        <f>SUM(OSRRefH22_6x_0)</f>
        <v>0</v>
      </c>
      <c r="I109" s="1"/>
      <c r="J109" s="5">
        <f t="shared" si="32"/>
        <v>0</v>
      </c>
      <c r="K109" s="1"/>
      <c r="L109" s="1">
        <f t="shared" si="33"/>
        <v>0</v>
      </c>
      <c r="M109" s="1"/>
      <c r="N109" s="5">
        <f t="shared" si="34"/>
        <v>0</v>
      </c>
      <c r="O109" s="14"/>
      <c r="P109" s="1">
        <f>SUM(OSRRefP22_6x_0)</f>
        <v>0</v>
      </c>
      <c r="Q109" s="1"/>
      <c r="R109" s="5">
        <f t="shared" si="35"/>
        <v>0</v>
      </c>
      <c r="S109" s="1"/>
      <c r="T109" s="1">
        <f>SUM(OSRRefT22_6x_0)</f>
        <v>0</v>
      </c>
      <c r="U109" s="1"/>
      <c r="V109" s="5">
        <f t="shared" si="36"/>
        <v>0</v>
      </c>
      <c r="W109" s="1"/>
      <c r="X109" s="1">
        <f t="shared" si="37"/>
        <v>0</v>
      </c>
      <c r="Y109" s="1"/>
      <c r="Z109" s="5">
        <f t="shared" si="38"/>
        <v>0</v>
      </c>
    </row>
    <row r="110" spans="1:26" s="24" customFormat="1" hidden="1" outlineLevel="2" x14ac:dyDescent="0.25">
      <c r="A110" s="27"/>
      <c r="B110" s="11" t="str">
        <f>CONCATENATE("          ", "6395", " - ", "DONATION-OFF CAMPUS")</f>
        <v xml:space="preserve">          6395 - DONATION-OFF CAMPUS</v>
      </c>
      <c r="C110" s="11"/>
      <c r="D110" s="7"/>
      <c r="E110" s="2"/>
      <c r="F110" s="6">
        <f t="shared" si="31"/>
        <v>0</v>
      </c>
      <c r="G110" s="2"/>
      <c r="H110" s="7"/>
      <c r="I110" s="2"/>
      <c r="J110" s="6">
        <f t="shared" si="32"/>
        <v>0</v>
      </c>
      <c r="K110" s="2"/>
      <c r="L110" s="7">
        <f t="shared" si="33"/>
        <v>0</v>
      </c>
      <c r="M110" s="2"/>
      <c r="N110" s="6">
        <f t="shared" si="34"/>
        <v>0</v>
      </c>
      <c r="O110" s="11"/>
      <c r="P110" s="7"/>
      <c r="Q110" s="2"/>
      <c r="R110" s="6">
        <f t="shared" si="35"/>
        <v>0</v>
      </c>
      <c r="S110" s="2"/>
      <c r="T110" s="7">
        <v>0</v>
      </c>
      <c r="U110" s="2"/>
      <c r="V110" s="6">
        <f t="shared" si="36"/>
        <v>0</v>
      </c>
      <c r="W110" s="2"/>
      <c r="X110" s="7">
        <f t="shared" si="37"/>
        <v>0</v>
      </c>
      <c r="Y110" s="2"/>
      <c r="Z110" s="6">
        <f t="shared" si="38"/>
        <v>0</v>
      </c>
    </row>
    <row r="111" spans="1:26" s="28" customFormat="1" outlineLevel="1" collapsed="1" x14ac:dyDescent="0.25">
      <c r="A111" s="29"/>
      <c r="B111" s="14" t="str">
        <f>CONCATENATE("     ","Employees' Appreciation                           ")</f>
        <v xml:space="preserve">     Employees' Appreciation                           </v>
      </c>
      <c r="C111" s="14"/>
      <c r="D111" s="1">
        <f>SUM(OSRRefD22_7x_0)</f>
        <v>0</v>
      </c>
      <c r="E111" s="1"/>
      <c r="F111" s="5">
        <f t="shared" si="31"/>
        <v>0</v>
      </c>
      <c r="G111" s="1"/>
      <c r="H111" s="1">
        <f>SUM(OSRRefH22_7x_0)</f>
        <v>200</v>
      </c>
      <c r="I111" s="1"/>
      <c r="J111" s="5">
        <f t="shared" si="32"/>
        <v>4.9921000017472345E-4</v>
      </c>
      <c r="K111" s="1"/>
      <c r="L111" s="1">
        <f t="shared" si="33"/>
        <v>-200</v>
      </c>
      <c r="M111" s="1"/>
      <c r="N111" s="5">
        <f t="shared" si="34"/>
        <v>-1</v>
      </c>
      <c r="O111" s="14"/>
      <c r="P111" s="1">
        <f>SUM(OSRRefP22_7x_0)</f>
        <v>0</v>
      </c>
      <c r="Q111" s="1"/>
      <c r="R111" s="5">
        <f t="shared" si="35"/>
        <v>0</v>
      </c>
      <c r="S111" s="1"/>
      <c r="T111" s="1">
        <f>SUM(OSRRefT22_7x_0)</f>
        <v>1600</v>
      </c>
      <c r="U111" s="1"/>
      <c r="V111" s="5">
        <f t="shared" si="36"/>
        <v>6.2214638949008099E-4</v>
      </c>
      <c r="W111" s="1"/>
      <c r="X111" s="1">
        <f t="shared" si="37"/>
        <v>-1600</v>
      </c>
      <c r="Y111" s="1"/>
      <c r="Z111" s="5">
        <f t="shared" si="38"/>
        <v>-1</v>
      </c>
    </row>
    <row r="112" spans="1:26" s="24" customFormat="1" hidden="1" outlineLevel="2" x14ac:dyDescent="0.25">
      <c r="A112" s="27"/>
      <c r="B112" s="11" t="str">
        <f>CONCATENATE("          ", "6277", " - ", "EMPLOYEE APPRECIATION")</f>
        <v xml:space="preserve">          6277 - EMPLOYEE APPRECIATION</v>
      </c>
      <c r="C112" s="11"/>
      <c r="D112" s="7"/>
      <c r="E112" s="2"/>
      <c r="F112" s="6">
        <f t="shared" si="31"/>
        <v>0</v>
      </c>
      <c r="G112" s="2"/>
      <c r="H112" s="7">
        <v>200</v>
      </c>
      <c r="I112" s="2"/>
      <c r="J112" s="6">
        <f t="shared" si="32"/>
        <v>4.9921000017472345E-4</v>
      </c>
      <c r="K112" s="2"/>
      <c r="L112" s="7">
        <f t="shared" si="33"/>
        <v>-200</v>
      </c>
      <c r="M112" s="2"/>
      <c r="N112" s="6">
        <f t="shared" si="34"/>
        <v>-1</v>
      </c>
      <c r="O112" s="11"/>
      <c r="P112" s="7"/>
      <c r="Q112" s="2"/>
      <c r="R112" s="6">
        <f t="shared" si="35"/>
        <v>0</v>
      </c>
      <c r="S112" s="2"/>
      <c r="T112" s="7">
        <v>1600</v>
      </c>
      <c r="U112" s="2"/>
      <c r="V112" s="6">
        <f t="shared" si="36"/>
        <v>6.2214638949008099E-4</v>
      </c>
      <c r="W112" s="2"/>
      <c r="X112" s="7">
        <f t="shared" si="37"/>
        <v>-1600</v>
      </c>
      <c r="Y112" s="2"/>
      <c r="Z112" s="6">
        <f t="shared" si="38"/>
        <v>-1</v>
      </c>
    </row>
    <row r="113" spans="1:26" s="28" customFormat="1" outlineLevel="1" collapsed="1" x14ac:dyDescent="0.25">
      <c r="A113" s="29"/>
      <c r="B113" s="14" t="str">
        <f>CONCATENATE("     ","Freight out/Postage                               ")</f>
        <v xml:space="preserve">     Freight out/Postage                               </v>
      </c>
      <c r="C113" s="14"/>
      <c r="D113" s="1">
        <f>SUM(OSRRefD22_8x_0)</f>
        <v>52.110000000000007</v>
      </c>
      <c r="E113" s="1"/>
      <c r="F113" s="5">
        <f t="shared" si="31"/>
        <v>4.3311232220764114E-4</v>
      </c>
      <c r="G113" s="1"/>
      <c r="H113" s="1">
        <f>SUM(OSRRefH22_8x_0)</f>
        <v>10</v>
      </c>
      <c r="I113" s="1"/>
      <c r="J113" s="5">
        <f t="shared" si="32"/>
        <v>2.4960500008736175E-5</v>
      </c>
      <c r="K113" s="1"/>
      <c r="L113" s="1">
        <f t="shared" si="33"/>
        <v>42.110000000000007</v>
      </c>
      <c r="M113" s="1"/>
      <c r="N113" s="5">
        <f t="shared" si="34"/>
        <v>4.2110000000000003</v>
      </c>
      <c r="O113" s="14"/>
      <c r="P113" s="1">
        <f>SUM(OSRRefP22_8x_0)</f>
        <v>286.53000000000003</v>
      </c>
      <c r="Q113" s="1"/>
      <c r="R113" s="5">
        <f t="shared" si="35"/>
        <v>2.1853699212038882E-4</v>
      </c>
      <c r="S113" s="1"/>
      <c r="T113" s="1">
        <f>SUM(OSRRefT22_8x_0)</f>
        <v>80</v>
      </c>
      <c r="U113" s="1"/>
      <c r="V113" s="5">
        <f t="shared" si="36"/>
        <v>3.1107319474504054E-5</v>
      </c>
      <c r="W113" s="1"/>
      <c r="X113" s="1">
        <f t="shared" si="37"/>
        <v>206.53000000000003</v>
      </c>
      <c r="Y113" s="1"/>
      <c r="Z113" s="5">
        <f t="shared" si="38"/>
        <v>2.5816250000000003</v>
      </c>
    </row>
    <row r="114" spans="1:26" s="24" customFormat="1" hidden="1" outlineLevel="2" x14ac:dyDescent="0.25">
      <c r="A114" s="27"/>
      <c r="B114" s="11" t="str">
        <f>CONCATENATE("          ", "6305", " - ", "FREIGHT OUT")</f>
        <v xml:space="preserve">          6305 - FREIGHT OUT</v>
      </c>
      <c r="C114" s="11"/>
      <c r="D114" s="7">
        <v>66.260000000000005</v>
      </c>
      <c r="E114" s="2"/>
      <c r="F114" s="6">
        <f t="shared" si="31"/>
        <v>5.5072006274185954E-4</v>
      </c>
      <c r="G114" s="2"/>
      <c r="H114" s="7"/>
      <c r="I114" s="2"/>
      <c r="J114" s="6">
        <f t="shared" si="32"/>
        <v>0</v>
      </c>
      <c r="K114" s="2"/>
      <c r="L114" s="7">
        <f t="shared" si="33"/>
        <v>66.260000000000005</v>
      </c>
      <c r="M114" s="2"/>
      <c r="N114" s="6">
        <f t="shared" si="34"/>
        <v>0</v>
      </c>
      <c r="O114" s="11"/>
      <c r="P114" s="7">
        <v>306.68</v>
      </c>
      <c r="Q114" s="2"/>
      <c r="R114" s="6">
        <f t="shared" si="35"/>
        <v>2.3390543658074491E-4</v>
      </c>
      <c r="S114" s="2"/>
      <c r="T114" s="7"/>
      <c r="U114" s="2"/>
      <c r="V114" s="6">
        <f t="shared" si="36"/>
        <v>0</v>
      </c>
      <c r="W114" s="2"/>
      <c r="X114" s="7">
        <f t="shared" si="37"/>
        <v>306.68</v>
      </c>
      <c r="Y114" s="2"/>
      <c r="Z114" s="6">
        <f t="shared" si="38"/>
        <v>0</v>
      </c>
    </row>
    <row r="115" spans="1:26" s="24" customFormat="1" hidden="1" outlineLevel="2" x14ac:dyDescent="0.25">
      <c r="A115" s="27"/>
      <c r="B115" s="11" t="str">
        <f>CONCATENATE("          ", "6307", " - ", "POSTAGE")</f>
        <v xml:space="preserve">          6307 - POSTAGE</v>
      </c>
      <c r="C115" s="11"/>
      <c r="D115" s="7">
        <v>-14.15</v>
      </c>
      <c r="E115" s="2"/>
      <c r="F115" s="6">
        <f t="shared" si="31"/>
        <v>-1.1760774053421842E-4</v>
      </c>
      <c r="G115" s="2"/>
      <c r="H115" s="7">
        <v>10</v>
      </c>
      <c r="I115" s="2"/>
      <c r="J115" s="6">
        <f t="shared" si="32"/>
        <v>2.4960500008736175E-5</v>
      </c>
      <c r="K115" s="2"/>
      <c r="L115" s="7">
        <f t="shared" si="33"/>
        <v>-24.15</v>
      </c>
      <c r="M115" s="2"/>
      <c r="N115" s="6">
        <f t="shared" si="34"/>
        <v>-2.415</v>
      </c>
      <c r="O115" s="11"/>
      <c r="P115" s="7">
        <v>-20.149999999999999</v>
      </c>
      <c r="Q115" s="2"/>
      <c r="R115" s="6">
        <f t="shared" si="35"/>
        <v>-1.5368444460356102E-5</v>
      </c>
      <c r="S115" s="2"/>
      <c r="T115" s="7">
        <v>80</v>
      </c>
      <c r="U115" s="2"/>
      <c r="V115" s="6">
        <f t="shared" si="36"/>
        <v>3.1107319474504054E-5</v>
      </c>
      <c r="W115" s="2"/>
      <c r="X115" s="7">
        <f t="shared" si="37"/>
        <v>-100.15</v>
      </c>
      <c r="Y115" s="2"/>
      <c r="Z115" s="6">
        <f t="shared" si="38"/>
        <v>-1.2518750000000001</v>
      </c>
    </row>
    <row r="116" spans="1:26" s="28" customFormat="1" outlineLevel="1" collapsed="1" x14ac:dyDescent="0.25">
      <c r="A116" s="29"/>
      <c r="B116" s="14" t="str">
        <f>CONCATENATE("     ","General                                           ")</f>
        <v xml:space="preserve">     General                                           </v>
      </c>
      <c r="C116" s="14"/>
      <c r="D116" s="1">
        <f>SUM(OSRRefD22_9x_0)</f>
        <v>0</v>
      </c>
      <c r="E116" s="1"/>
      <c r="F116" s="5">
        <f t="shared" ref="F116:F118" si="39">IF(D$12=0,0,D116/D$12)</f>
        <v>0</v>
      </c>
      <c r="G116" s="1"/>
      <c r="H116" s="1">
        <f>SUM(OSRRefH22_9x_0)</f>
        <v>0</v>
      </c>
      <c r="I116" s="1"/>
      <c r="J116" s="5">
        <f t="shared" ref="J116:J118" si="40">IF(H$12=0,0,H116/H$12)</f>
        <v>0</v>
      </c>
      <c r="K116" s="1"/>
      <c r="L116" s="1">
        <f t="shared" ref="L116:L118" si="41">+D116-H116</f>
        <v>0</v>
      </c>
      <c r="M116" s="1"/>
      <c r="N116" s="5">
        <f t="shared" ref="N116:N118" si="42">IF(H116=0,0,L116/H116)</f>
        <v>0</v>
      </c>
      <c r="O116" s="14"/>
      <c r="P116" s="1">
        <f>SUM(OSRRefP22_9x_0)</f>
        <v>1285.46</v>
      </c>
      <c r="Q116" s="1"/>
      <c r="R116" s="5">
        <f t="shared" ref="R116:R118" si="43">IF(P$12=0,0,P116/P$12)</f>
        <v>9.8042285935530317E-4</v>
      </c>
      <c r="S116" s="1"/>
      <c r="T116" s="1">
        <f>SUM(OSRRefT22_9x_0)</f>
        <v>2200</v>
      </c>
      <c r="U116" s="1"/>
      <c r="V116" s="5">
        <f t="shared" ref="V116:V118" si="44">IF(T$12=0,0,T116/T$12)</f>
        <v>8.5545128554886149E-4</v>
      </c>
      <c r="W116" s="1"/>
      <c r="X116" s="1">
        <f t="shared" ref="X116:X118" si="45">+P116-T116</f>
        <v>-914.54</v>
      </c>
      <c r="Y116" s="1"/>
      <c r="Z116" s="5">
        <f t="shared" ref="Z116:Z118" si="46">IF(T116=0,0,X116/T116)</f>
        <v>-0.41569999999999996</v>
      </c>
    </row>
    <row r="117" spans="1:26" s="24" customFormat="1" hidden="1" outlineLevel="2" x14ac:dyDescent="0.25">
      <c r="A117" s="27"/>
      <c r="B117" s="11" t="str">
        <f>CONCATENATE("          ", "6276", " - ", "PROPERTY TAX")</f>
        <v xml:space="preserve">          6276 - PROPERTY TAX</v>
      </c>
      <c r="C117" s="11"/>
      <c r="D117" s="7"/>
      <c r="E117" s="2"/>
      <c r="F117" s="6">
        <f t="shared" si="39"/>
        <v>0</v>
      </c>
      <c r="G117" s="2"/>
      <c r="H117" s="7"/>
      <c r="I117" s="2"/>
      <c r="J117" s="6">
        <f t="shared" si="40"/>
        <v>0</v>
      </c>
      <c r="K117" s="2"/>
      <c r="L117" s="7">
        <f t="shared" si="41"/>
        <v>0</v>
      </c>
      <c r="M117" s="2"/>
      <c r="N117" s="6">
        <f t="shared" si="42"/>
        <v>0</v>
      </c>
      <c r="O117" s="11"/>
      <c r="P117" s="7"/>
      <c r="Q117" s="2"/>
      <c r="R117" s="6">
        <f t="shared" si="43"/>
        <v>0</v>
      </c>
      <c r="S117" s="2"/>
      <c r="T117" s="7">
        <v>150</v>
      </c>
      <c r="U117" s="2"/>
      <c r="V117" s="6">
        <f t="shared" si="44"/>
        <v>5.8326224014695096E-5</v>
      </c>
      <c r="W117" s="2"/>
      <c r="X117" s="7">
        <f t="shared" si="45"/>
        <v>-150</v>
      </c>
      <c r="Y117" s="2"/>
      <c r="Z117" s="6">
        <f t="shared" si="46"/>
        <v>-1</v>
      </c>
    </row>
    <row r="118" spans="1:26" s="24" customFormat="1" hidden="1" outlineLevel="2" x14ac:dyDescent="0.25">
      <c r="A118" s="27"/>
      <c r="B118" s="11" t="str">
        <f>CONCATENATE("          ", "6279", " - ", "GENERAL EXPENSE")</f>
        <v xml:space="preserve">          6279 - GENERAL EXPENSE</v>
      </c>
      <c r="C118" s="11"/>
      <c r="D118" s="7"/>
      <c r="E118" s="2"/>
      <c r="F118" s="6">
        <f t="shared" si="39"/>
        <v>0</v>
      </c>
      <c r="G118" s="2"/>
      <c r="H118" s="7">
        <v>0</v>
      </c>
      <c r="I118" s="2"/>
      <c r="J118" s="6">
        <f t="shared" si="40"/>
        <v>0</v>
      </c>
      <c r="K118" s="2"/>
      <c r="L118" s="7">
        <f t="shared" si="41"/>
        <v>0</v>
      </c>
      <c r="M118" s="2"/>
      <c r="N118" s="6">
        <f t="shared" si="42"/>
        <v>0</v>
      </c>
      <c r="O118" s="11"/>
      <c r="P118" s="7">
        <v>1285.46</v>
      </c>
      <c r="Q118" s="2"/>
      <c r="R118" s="6">
        <f t="shared" si="43"/>
        <v>9.8042285935530317E-4</v>
      </c>
      <c r="S118" s="2"/>
      <c r="T118" s="7">
        <v>2050</v>
      </c>
      <c r="U118" s="2"/>
      <c r="V118" s="6">
        <f t="shared" si="44"/>
        <v>7.9712506153416631E-4</v>
      </c>
      <c r="W118" s="2"/>
      <c r="X118" s="7">
        <f t="shared" si="45"/>
        <v>-764.54</v>
      </c>
      <c r="Y118" s="2"/>
      <c r="Z118" s="6">
        <f t="shared" si="46"/>
        <v>-0.3729463414634146</v>
      </c>
    </row>
    <row r="119" spans="1:26" s="28" customFormat="1" outlineLevel="1" collapsed="1" x14ac:dyDescent="0.25">
      <c r="A119" s="29"/>
      <c r="B119" s="14" t="str">
        <f>CONCATENATE("     ","Insurance                                         ")</f>
        <v xml:space="preserve">     Insurance                                         </v>
      </c>
      <c r="C119" s="14"/>
      <c r="D119" s="1">
        <f>SUM(OSRRefD22_10x_0)</f>
        <v>161.18</v>
      </c>
      <c r="E119" s="1"/>
      <c r="F119" s="5">
        <f t="shared" ref="F119:F130" si="47">IF(D$12=0,0,D119/D$12)</f>
        <v>1.3396477469473729E-3</v>
      </c>
      <c r="G119" s="1"/>
      <c r="H119" s="1">
        <f>SUM(OSRRefH22_10x_0)</f>
        <v>176</v>
      </c>
      <c r="I119" s="1"/>
      <c r="J119" s="5">
        <f t="shared" ref="J119:J130" si="48">IF(H$12=0,0,H119/H$12)</f>
        <v>4.3930480015375668E-4</v>
      </c>
      <c r="K119" s="1"/>
      <c r="L119" s="1">
        <f t="shared" ref="L119:L130" si="49">+D119-H119</f>
        <v>-14.819999999999993</v>
      </c>
      <c r="M119" s="1"/>
      <c r="N119" s="5">
        <f t="shared" ref="N119:N130" si="50">IF(H119=0,0,L119/H119)</f>
        <v>-8.4204545454545421E-2</v>
      </c>
      <c r="O119" s="14"/>
      <c r="P119" s="1">
        <f>SUM(OSRRefP22_10x_0)</f>
        <v>1289.44</v>
      </c>
      <c r="Q119" s="1"/>
      <c r="R119" s="5">
        <f t="shared" ref="R119:R130" si="51">IF(P$12=0,0,P119/P$12)</f>
        <v>9.8345841314945778E-4</v>
      </c>
      <c r="S119" s="1"/>
      <c r="T119" s="1">
        <f>SUM(OSRRefT22_10x_0)</f>
        <v>1408</v>
      </c>
      <c r="U119" s="1"/>
      <c r="V119" s="5">
        <f t="shared" ref="V119:V130" si="52">IF(T$12=0,0,T119/T$12)</f>
        <v>5.4748882275127136E-4</v>
      </c>
      <c r="W119" s="1"/>
      <c r="X119" s="1">
        <f t="shared" ref="X119:X130" si="53">+P119-T119</f>
        <v>-118.55999999999995</v>
      </c>
      <c r="Y119" s="1"/>
      <c r="Z119" s="5">
        <f t="shared" ref="Z119:Z130" si="54">IF(T119=0,0,X119/T119)</f>
        <v>-8.4204545454545421E-2</v>
      </c>
    </row>
    <row r="120" spans="1:26" s="24" customFormat="1" hidden="1" outlineLevel="2" x14ac:dyDescent="0.25">
      <c r="A120" s="27"/>
      <c r="B120" s="11" t="str">
        <f>CONCATENATE("          ", "6314", " - ", "LIABILITY INSURANCE")</f>
        <v xml:space="preserve">          6314 - LIABILITY INSURANCE</v>
      </c>
      <c r="C120" s="11"/>
      <c r="D120" s="7">
        <v>161.18</v>
      </c>
      <c r="E120" s="2"/>
      <c r="F120" s="6">
        <f t="shared" si="47"/>
        <v>1.3396477469473729E-3</v>
      </c>
      <c r="G120" s="2"/>
      <c r="H120" s="7">
        <v>176</v>
      </c>
      <c r="I120" s="2"/>
      <c r="J120" s="6">
        <f t="shared" si="48"/>
        <v>4.3930480015375668E-4</v>
      </c>
      <c r="K120" s="2"/>
      <c r="L120" s="7">
        <f t="shared" si="49"/>
        <v>-14.819999999999993</v>
      </c>
      <c r="M120" s="2"/>
      <c r="N120" s="6">
        <f t="shared" si="50"/>
        <v>-8.4204545454545421E-2</v>
      </c>
      <c r="O120" s="11"/>
      <c r="P120" s="7">
        <v>1289.44</v>
      </c>
      <c r="Q120" s="2"/>
      <c r="R120" s="6">
        <f t="shared" si="51"/>
        <v>9.8345841314945778E-4</v>
      </c>
      <c r="S120" s="2"/>
      <c r="T120" s="7">
        <v>1408</v>
      </c>
      <c r="U120" s="2"/>
      <c r="V120" s="6">
        <f t="shared" si="52"/>
        <v>5.4748882275127136E-4</v>
      </c>
      <c r="W120" s="2"/>
      <c r="X120" s="7">
        <f t="shared" si="53"/>
        <v>-118.55999999999995</v>
      </c>
      <c r="Y120" s="2"/>
      <c r="Z120" s="6">
        <f t="shared" si="54"/>
        <v>-8.4204545454545421E-2</v>
      </c>
    </row>
    <row r="121" spans="1:26" s="28" customFormat="1" outlineLevel="1" collapsed="1" x14ac:dyDescent="0.25">
      <c r="A121" s="29"/>
      <c r="B121" s="14" t="str">
        <f>CONCATENATE("     ","Inventory Adjustment                              ")</f>
        <v xml:space="preserve">     Inventory Adjustment                              </v>
      </c>
      <c r="C121" s="14"/>
      <c r="D121" s="1">
        <f>SUM(OSRRefD22_11x_0)</f>
        <v>1100</v>
      </c>
      <c r="E121" s="1"/>
      <c r="F121" s="5">
        <f t="shared" si="47"/>
        <v>9.1426512076070859E-3</v>
      </c>
      <c r="G121" s="1"/>
      <c r="H121" s="1">
        <f>SUM(OSRRefH22_11x_0)</f>
        <v>1100</v>
      </c>
      <c r="I121" s="1"/>
      <c r="J121" s="5">
        <f t="shared" si="48"/>
        <v>2.7456550009609792E-3</v>
      </c>
      <c r="K121" s="1"/>
      <c r="L121" s="1">
        <f t="shared" si="49"/>
        <v>0</v>
      </c>
      <c r="M121" s="1"/>
      <c r="N121" s="5">
        <f t="shared" si="50"/>
        <v>0</v>
      </c>
      <c r="O121" s="14"/>
      <c r="P121" s="1">
        <f>SUM(OSRRefP22_11x_0)</f>
        <v>8800</v>
      </c>
      <c r="Q121" s="1"/>
      <c r="R121" s="5">
        <f t="shared" si="51"/>
        <v>6.7117772333068837E-3</v>
      </c>
      <c r="S121" s="1"/>
      <c r="T121" s="1">
        <f>SUM(OSRRefT22_11x_0)</f>
        <v>8800</v>
      </c>
      <c r="U121" s="1"/>
      <c r="V121" s="5">
        <f t="shared" si="52"/>
        <v>3.4218051421954459E-3</v>
      </c>
      <c r="W121" s="1"/>
      <c r="X121" s="1">
        <f t="shared" si="53"/>
        <v>0</v>
      </c>
      <c r="Y121" s="1"/>
      <c r="Z121" s="5">
        <f t="shared" si="54"/>
        <v>0</v>
      </c>
    </row>
    <row r="122" spans="1:26" s="24" customFormat="1" hidden="1" outlineLevel="2" x14ac:dyDescent="0.25">
      <c r="A122" s="27"/>
      <c r="B122" s="11" t="str">
        <f>CONCATENATE("          ", "6408", " - ", "INVENTORY ADJUSTMENT")</f>
        <v xml:space="preserve">          6408 - INVENTORY ADJUSTMENT</v>
      </c>
      <c r="C122" s="11"/>
      <c r="D122" s="7">
        <v>1100</v>
      </c>
      <c r="E122" s="2"/>
      <c r="F122" s="6">
        <f t="shared" si="47"/>
        <v>9.1426512076070859E-3</v>
      </c>
      <c r="G122" s="2"/>
      <c r="H122" s="7">
        <v>1100</v>
      </c>
      <c r="I122" s="2"/>
      <c r="J122" s="6">
        <f t="shared" si="48"/>
        <v>2.7456550009609792E-3</v>
      </c>
      <c r="K122" s="2"/>
      <c r="L122" s="7">
        <f t="shared" si="49"/>
        <v>0</v>
      </c>
      <c r="M122" s="2"/>
      <c r="N122" s="6">
        <f t="shared" si="50"/>
        <v>0</v>
      </c>
      <c r="O122" s="11"/>
      <c r="P122" s="7">
        <v>8800</v>
      </c>
      <c r="Q122" s="2"/>
      <c r="R122" s="6">
        <f t="shared" si="51"/>
        <v>6.7117772333068837E-3</v>
      </c>
      <c r="S122" s="2"/>
      <c r="T122" s="7">
        <v>8800</v>
      </c>
      <c r="U122" s="2"/>
      <c r="V122" s="6">
        <f t="shared" si="52"/>
        <v>3.4218051421954459E-3</v>
      </c>
      <c r="W122" s="2"/>
      <c r="X122" s="7">
        <f t="shared" si="53"/>
        <v>0</v>
      </c>
      <c r="Y122" s="2"/>
      <c r="Z122" s="6">
        <f t="shared" si="54"/>
        <v>0</v>
      </c>
    </row>
    <row r="123" spans="1:26" s="28" customFormat="1" outlineLevel="1" collapsed="1" x14ac:dyDescent="0.25">
      <c r="A123" s="29"/>
      <c r="B123" s="14" t="str">
        <f>CONCATENATE("     ","Professional Services                             ")</f>
        <v xml:space="preserve">     Professional Services                             </v>
      </c>
      <c r="C123" s="14"/>
      <c r="D123" s="1">
        <f>SUM(OSRRefD22_12x_0)</f>
        <v>0</v>
      </c>
      <c r="E123" s="1"/>
      <c r="F123" s="5">
        <f t="shared" si="47"/>
        <v>0</v>
      </c>
      <c r="G123" s="1"/>
      <c r="H123" s="1">
        <f>SUM(OSRRefH22_12x_0)</f>
        <v>0</v>
      </c>
      <c r="I123" s="1"/>
      <c r="J123" s="5">
        <f t="shared" si="48"/>
        <v>0</v>
      </c>
      <c r="K123" s="1"/>
      <c r="L123" s="1">
        <f t="shared" si="49"/>
        <v>0</v>
      </c>
      <c r="M123" s="1"/>
      <c r="N123" s="5">
        <f t="shared" si="50"/>
        <v>0</v>
      </c>
      <c r="O123" s="14"/>
      <c r="P123" s="1">
        <f>SUM(OSRRefP22_12x_0)</f>
        <v>0</v>
      </c>
      <c r="Q123" s="1"/>
      <c r="R123" s="5">
        <f t="shared" si="51"/>
        <v>0</v>
      </c>
      <c r="S123" s="1"/>
      <c r="T123" s="1">
        <f>SUM(OSRRefT22_12x_0)</f>
        <v>6250</v>
      </c>
      <c r="U123" s="1"/>
      <c r="V123" s="5">
        <f t="shared" si="52"/>
        <v>2.4302593339456291E-3</v>
      </c>
      <c r="W123" s="1"/>
      <c r="X123" s="1">
        <f t="shared" si="53"/>
        <v>-6250</v>
      </c>
      <c r="Y123" s="1"/>
      <c r="Z123" s="5">
        <f t="shared" si="54"/>
        <v>-1</v>
      </c>
    </row>
    <row r="124" spans="1:26" s="24" customFormat="1" hidden="1" outlineLevel="2" x14ac:dyDescent="0.25">
      <c r="A124" s="27"/>
      <c r="B124" s="11" t="str">
        <f>CONCATENATE("          ", "6336", " - ", "PROFESSIONAL SERVICES")</f>
        <v xml:space="preserve">          6336 - PROFESSIONAL SERVICES</v>
      </c>
      <c r="C124" s="11"/>
      <c r="D124" s="7"/>
      <c r="E124" s="2"/>
      <c r="F124" s="6">
        <f t="shared" si="47"/>
        <v>0</v>
      </c>
      <c r="G124" s="2"/>
      <c r="H124" s="7">
        <v>0</v>
      </c>
      <c r="I124" s="2"/>
      <c r="J124" s="6">
        <f t="shared" si="48"/>
        <v>0</v>
      </c>
      <c r="K124" s="2"/>
      <c r="L124" s="7">
        <f t="shared" si="49"/>
        <v>0</v>
      </c>
      <c r="M124" s="2"/>
      <c r="N124" s="6">
        <f t="shared" si="50"/>
        <v>0</v>
      </c>
      <c r="O124" s="11"/>
      <c r="P124" s="7"/>
      <c r="Q124" s="2"/>
      <c r="R124" s="6">
        <f t="shared" si="51"/>
        <v>0</v>
      </c>
      <c r="S124" s="2"/>
      <c r="T124" s="7">
        <v>6250</v>
      </c>
      <c r="U124" s="2"/>
      <c r="V124" s="6">
        <f t="shared" si="52"/>
        <v>2.4302593339456291E-3</v>
      </c>
      <c r="W124" s="2"/>
      <c r="X124" s="7">
        <f t="shared" si="53"/>
        <v>-6250</v>
      </c>
      <c r="Y124" s="2"/>
      <c r="Z124" s="6">
        <f t="shared" si="54"/>
        <v>-1</v>
      </c>
    </row>
    <row r="125" spans="1:26" s="28" customFormat="1" outlineLevel="1" collapsed="1" x14ac:dyDescent="0.25">
      <c r="A125" s="29"/>
      <c r="B125" s="14" t="str">
        <f>CONCATENATE("     ","Rent                                              ")</f>
        <v xml:space="preserve">     Rent                                              </v>
      </c>
      <c r="C125" s="14"/>
      <c r="D125" s="1">
        <f>SUM(OSRRefD22_13x_0)</f>
        <v>6900</v>
      </c>
      <c r="E125" s="1"/>
      <c r="F125" s="5">
        <f t="shared" si="47"/>
        <v>5.73493575749899E-2</v>
      </c>
      <c r="G125" s="1"/>
      <c r="H125" s="1">
        <f>SUM(OSRRefH22_13x_0)</f>
        <v>6900</v>
      </c>
      <c r="I125" s="1"/>
      <c r="J125" s="5">
        <f t="shared" si="48"/>
        <v>1.722274500602796E-2</v>
      </c>
      <c r="K125" s="1"/>
      <c r="L125" s="1">
        <f t="shared" si="49"/>
        <v>0</v>
      </c>
      <c r="M125" s="1"/>
      <c r="N125" s="5">
        <f t="shared" si="50"/>
        <v>0</v>
      </c>
      <c r="O125" s="14"/>
      <c r="P125" s="1">
        <f>SUM(OSRRefP22_13x_0)</f>
        <v>55200</v>
      </c>
      <c r="Q125" s="1"/>
      <c r="R125" s="5">
        <f t="shared" si="51"/>
        <v>4.210114809983409E-2</v>
      </c>
      <c r="S125" s="1"/>
      <c r="T125" s="1">
        <f>SUM(OSRRefT22_13x_0)</f>
        <v>55201</v>
      </c>
      <c r="U125" s="1"/>
      <c r="V125" s="5">
        <f t="shared" si="52"/>
        <v>2.1464439278901227E-2</v>
      </c>
      <c r="W125" s="1"/>
      <c r="X125" s="1">
        <f t="shared" si="53"/>
        <v>-1</v>
      </c>
      <c r="Y125" s="1"/>
      <c r="Z125" s="5">
        <f t="shared" si="54"/>
        <v>-1.8115613847575227E-5</v>
      </c>
    </row>
    <row r="126" spans="1:26" s="24" customFormat="1" hidden="1" outlineLevel="2" x14ac:dyDescent="0.25">
      <c r="A126" s="27"/>
      <c r="B126" s="11" t="str">
        <f>CONCATENATE("          ", "6273", " - ", "RENT")</f>
        <v xml:space="preserve">          6273 - RENT</v>
      </c>
      <c r="C126" s="11"/>
      <c r="D126" s="7">
        <v>6900</v>
      </c>
      <c r="E126" s="2"/>
      <c r="F126" s="6">
        <f t="shared" si="47"/>
        <v>5.73493575749899E-2</v>
      </c>
      <c r="G126" s="2"/>
      <c r="H126" s="7">
        <v>6900</v>
      </c>
      <c r="I126" s="2"/>
      <c r="J126" s="6">
        <f t="shared" si="48"/>
        <v>1.722274500602796E-2</v>
      </c>
      <c r="K126" s="2"/>
      <c r="L126" s="7">
        <f t="shared" si="49"/>
        <v>0</v>
      </c>
      <c r="M126" s="2"/>
      <c r="N126" s="6">
        <f t="shared" si="50"/>
        <v>0</v>
      </c>
      <c r="O126" s="11"/>
      <c r="P126" s="7">
        <v>55200</v>
      </c>
      <c r="Q126" s="2"/>
      <c r="R126" s="6">
        <f t="shared" si="51"/>
        <v>4.210114809983409E-2</v>
      </c>
      <c r="S126" s="2"/>
      <c r="T126" s="7">
        <v>55201</v>
      </c>
      <c r="U126" s="2"/>
      <c r="V126" s="6">
        <f t="shared" si="52"/>
        <v>2.1464439278901227E-2</v>
      </c>
      <c r="W126" s="2"/>
      <c r="X126" s="7">
        <f t="shared" si="53"/>
        <v>-1</v>
      </c>
      <c r="Y126" s="2"/>
      <c r="Z126" s="6">
        <f t="shared" si="54"/>
        <v>-1.8115613847575227E-5</v>
      </c>
    </row>
    <row r="127" spans="1:26" s="28" customFormat="1" outlineLevel="1" collapsed="1" x14ac:dyDescent="0.25">
      <c r="A127" s="29"/>
      <c r="B127" s="14" t="str">
        <f>CONCATENATE("     ","Repair and Maintenance                            ")</f>
        <v xml:space="preserve">     Repair and Maintenance                            </v>
      </c>
      <c r="C127" s="14"/>
      <c r="D127" s="1">
        <f>SUM(OSRRefD22_14x_0)</f>
        <v>-0.52</v>
      </c>
      <c r="E127" s="1"/>
      <c r="F127" s="5">
        <f t="shared" si="47"/>
        <v>-4.3219805708688041E-6</v>
      </c>
      <c r="G127" s="1"/>
      <c r="H127" s="1">
        <f>SUM(OSRRefH22_14x_0)</f>
        <v>400</v>
      </c>
      <c r="I127" s="1"/>
      <c r="J127" s="5">
        <f t="shared" si="48"/>
        <v>9.984200003494469E-4</v>
      </c>
      <c r="K127" s="1"/>
      <c r="L127" s="1">
        <f t="shared" si="49"/>
        <v>-400.52</v>
      </c>
      <c r="M127" s="1"/>
      <c r="N127" s="5">
        <f t="shared" si="50"/>
        <v>-1.0012999999999999</v>
      </c>
      <c r="O127" s="14"/>
      <c r="P127" s="1">
        <f>SUM(OSRRefP22_14x_0)</f>
        <v>95.92</v>
      </c>
      <c r="Q127" s="1"/>
      <c r="R127" s="5">
        <f t="shared" si="51"/>
        <v>7.3158371843045036E-5</v>
      </c>
      <c r="S127" s="1"/>
      <c r="T127" s="1">
        <f>SUM(OSRRefT22_14x_0)</f>
        <v>1950</v>
      </c>
      <c r="U127" s="1"/>
      <c r="V127" s="5">
        <f t="shared" si="52"/>
        <v>7.5824091219103623E-4</v>
      </c>
      <c r="W127" s="1"/>
      <c r="X127" s="1">
        <f t="shared" si="53"/>
        <v>-1854.08</v>
      </c>
      <c r="Y127" s="1"/>
      <c r="Z127" s="5">
        <f t="shared" si="54"/>
        <v>-0.9508102564102564</v>
      </c>
    </row>
    <row r="128" spans="1:26" s="24" customFormat="1" hidden="1" outlineLevel="2" x14ac:dyDescent="0.25">
      <c r="A128" s="27"/>
      <c r="B128" s="11" t="str">
        <f>CONCATENATE("          ", "6372", " - ", "COMPUTER HARDWARE MAINTENANCE")</f>
        <v xml:space="preserve">          6372 - COMPUTER HARDWARE MAINTENANCE</v>
      </c>
      <c r="C128" s="11"/>
      <c r="D128" s="7">
        <v>-0.52</v>
      </c>
      <c r="E128" s="2"/>
      <c r="F128" s="6">
        <f t="shared" si="47"/>
        <v>-4.3219805708688041E-6</v>
      </c>
      <c r="G128" s="2"/>
      <c r="H128" s="7"/>
      <c r="I128" s="2"/>
      <c r="J128" s="6">
        <f t="shared" si="48"/>
        <v>0</v>
      </c>
      <c r="K128" s="2"/>
      <c r="L128" s="7">
        <f t="shared" si="49"/>
        <v>-0.52</v>
      </c>
      <c r="M128" s="2"/>
      <c r="N128" s="6">
        <f t="shared" si="50"/>
        <v>0</v>
      </c>
      <c r="O128" s="11"/>
      <c r="P128" s="7">
        <v>-0.52</v>
      </c>
      <c r="Q128" s="2"/>
      <c r="R128" s="6">
        <f t="shared" si="51"/>
        <v>-3.966050183317704E-7</v>
      </c>
      <c r="S128" s="2"/>
      <c r="T128" s="7"/>
      <c r="U128" s="2"/>
      <c r="V128" s="6">
        <f t="shared" si="52"/>
        <v>0</v>
      </c>
      <c r="W128" s="2"/>
      <c r="X128" s="7">
        <f t="shared" si="53"/>
        <v>-0.52</v>
      </c>
      <c r="Y128" s="2"/>
      <c r="Z128" s="6">
        <f t="shared" si="54"/>
        <v>0</v>
      </c>
    </row>
    <row r="129" spans="1:26" s="24" customFormat="1" hidden="1" outlineLevel="2" x14ac:dyDescent="0.25">
      <c r="A129" s="27"/>
      <c r="B129" s="11" t="str">
        <f>CONCATENATE("          ", "6373", " - ", "MAINTENANCE CONTRACTS")</f>
        <v xml:space="preserve">          6373 - MAINTENANCE CONTRACTS</v>
      </c>
      <c r="C129" s="11"/>
      <c r="D129" s="7"/>
      <c r="E129" s="2"/>
      <c r="F129" s="6">
        <f t="shared" si="47"/>
        <v>0</v>
      </c>
      <c r="G129" s="2"/>
      <c r="H129" s="7"/>
      <c r="I129" s="2"/>
      <c r="J129" s="6">
        <f t="shared" si="48"/>
        <v>0</v>
      </c>
      <c r="K129" s="2"/>
      <c r="L129" s="7">
        <f t="shared" si="49"/>
        <v>0</v>
      </c>
      <c r="M129" s="2"/>
      <c r="N129" s="6">
        <f t="shared" si="50"/>
        <v>0</v>
      </c>
      <c r="O129" s="11"/>
      <c r="P129" s="7">
        <v>96.44</v>
      </c>
      <c r="Q129" s="2"/>
      <c r="R129" s="6">
        <f t="shared" si="51"/>
        <v>7.3554976861376804E-5</v>
      </c>
      <c r="S129" s="2"/>
      <c r="T129" s="7"/>
      <c r="U129" s="2"/>
      <c r="V129" s="6">
        <f t="shared" si="52"/>
        <v>0</v>
      </c>
      <c r="W129" s="2"/>
      <c r="X129" s="7">
        <f t="shared" si="53"/>
        <v>96.44</v>
      </c>
      <c r="Y129" s="2"/>
      <c r="Z129" s="6">
        <f t="shared" si="54"/>
        <v>0</v>
      </c>
    </row>
    <row r="130" spans="1:26" s="24" customFormat="1" hidden="1" outlineLevel="2" x14ac:dyDescent="0.25">
      <c r="A130" s="27"/>
      <c r="B130" s="11" t="str">
        <f>CONCATENATE("          ", "6375", " - ", "OUTSIDE REPAIRS &amp; MAINTENANCE")</f>
        <v xml:space="preserve">          6375 - OUTSIDE REPAIRS &amp; MAINTENANCE</v>
      </c>
      <c r="C130" s="11"/>
      <c r="D130" s="7"/>
      <c r="E130" s="2"/>
      <c r="F130" s="6">
        <f t="shared" si="47"/>
        <v>0</v>
      </c>
      <c r="G130" s="2"/>
      <c r="H130" s="7">
        <v>400</v>
      </c>
      <c r="I130" s="2"/>
      <c r="J130" s="6">
        <f t="shared" si="48"/>
        <v>9.984200003494469E-4</v>
      </c>
      <c r="K130" s="2"/>
      <c r="L130" s="7">
        <f t="shared" si="49"/>
        <v>-400</v>
      </c>
      <c r="M130" s="2"/>
      <c r="N130" s="6">
        <f t="shared" si="50"/>
        <v>-1</v>
      </c>
      <c r="O130" s="11"/>
      <c r="P130" s="7"/>
      <c r="Q130" s="2"/>
      <c r="R130" s="6">
        <f t="shared" si="51"/>
        <v>0</v>
      </c>
      <c r="S130" s="2"/>
      <c r="T130" s="7">
        <v>1950</v>
      </c>
      <c r="U130" s="2"/>
      <c r="V130" s="6">
        <f t="shared" si="52"/>
        <v>7.5824091219103623E-4</v>
      </c>
      <c r="W130" s="2"/>
      <c r="X130" s="7">
        <f t="shared" si="53"/>
        <v>-1950</v>
      </c>
      <c r="Y130" s="2"/>
      <c r="Z130" s="6">
        <f t="shared" si="54"/>
        <v>-1</v>
      </c>
    </row>
    <row r="131" spans="1:26" s="28" customFormat="1" outlineLevel="1" collapsed="1" x14ac:dyDescent="0.25">
      <c r="A131" s="29"/>
      <c r="B131" s="14" t="str">
        <f>CONCATENATE("     ","Royalty &amp; Commissions                             ")</f>
        <v xml:space="preserve">     Royalty &amp; Commissions                             </v>
      </c>
      <c r="C131" s="14"/>
      <c r="D131" s="1">
        <f>SUM(OSRRefD22_15x_0)</f>
        <v>0</v>
      </c>
      <c r="E131" s="1"/>
      <c r="F131" s="5">
        <f t="shared" ref="F131:F134" si="55">IF(D$12=0,0,D131/D$12)</f>
        <v>0</v>
      </c>
      <c r="G131" s="1"/>
      <c r="H131" s="1">
        <f>SUM(OSRRefH22_15x_0)</f>
        <v>6271</v>
      </c>
      <c r="I131" s="1"/>
      <c r="J131" s="5">
        <f t="shared" ref="J131:J134" si="56">IF(H$12=0,0,H131/H$12)</f>
        <v>1.5652729555478456E-2</v>
      </c>
      <c r="K131" s="1"/>
      <c r="L131" s="1">
        <f t="shared" ref="L131:L134" si="57">+D131-H131</f>
        <v>-6271</v>
      </c>
      <c r="M131" s="1"/>
      <c r="N131" s="5">
        <f t="shared" ref="N131:N134" si="58">IF(H131=0,0,L131/H131)</f>
        <v>-1</v>
      </c>
      <c r="O131" s="14"/>
      <c r="P131" s="1">
        <f>SUM(OSRRefP22_15x_0)</f>
        <v>26197.58</v>
      </c>
      <c r="Q131" s="1"/>
      <c r="R131" s="5">
        <f t="shared" ref="R131:R134" si="59">IF(P$12=0,0,P131/P$12)</f>
        <v>1.9980945569515428E-2</v>
      </c>
      <c r="S131" s="1"/>
      <c r="T131" s="1">
        <f>SUM(OSRRefT22_15x_0)</f>
        <v>50168</v>
      </c>
      <c r="U131" s="1"/>
      <c r="V131" s="5">
        <f t="shared" ref="V131:V134" si="60">IF(T$12=0,0,T131/T$12)</f>
        <v>1.950740004246149E-2</v>
      </c>
      <c r="W131" s="1"/>
      <c r="X131" s="1">
        <f t="shared" ref="X131:X134" si="61">+P131-T131</f>
        <v>-23970.42</v>
      </c>
      <c r="Y131" s="1"/>
      <c r="Z131" s="5">
        <f t="shared" ref="Z131:Z134" si="62">IF(T131=0,0,X131/T131)</f>
        <v>-0.47780298198054533</v>
      </c>
    </row>
    <row r="132" spans="1:26" s="24" customFormat="1" hidden="1" outlineLevel="2" x14ac:dyDescent="0.25">
      <c r="A132" s="27"/>
      <c r="B132" s="11" t="str">
        <f>CONCATENATE("          ", "6252", " - ", "ROYALTY DUE CSTV")</f>
        <v xml:space="preserve">          6252 - ROYALTY DUE CSTV</v>
      </c>
      <c r="C132" s="11"/>
      <c r="D132" s="7"/>
      <c r="E132" s="2"/>
      <c r="F132" s="6">
        <f t="shared" si="55"/>
        <v>0</v>
      </c>
      <c r="G132" s="2"/>
      <c r="H132" s="7">
        <v>1085</v>
      </c>
      <c r="I132" s="2"/>
      <c r="J132" s="6">
        <f t="shared" si="56"/>
        <v>2.7082142509478749E-3</v>
      </c>
      <c r="K132" s="2"/>
      <c r="L132" s="7">
        <f t="shared" si="57"/>
        <v>-1085</v>
      </c>
      <c r="M132" s="2"/>
      <c r="N132" s="6">
        <f t="shared" si="58"/>
        <v>-1</v>
      </c>
      <c r="O132" s="11"/>
      <c r="P132" s="7"/>
      <c r="Q132" s="2"/>
      <c r="R132" s="6">
        <f t="shared" si="59"/>
        <v>0</v>
      </c>
      <c r="S132" s="2"/>
      <c r="T132" s="7">
        <v>8680</v>
      </c>
      <c r="U132" s="2"/>
      <c r="V132" s="6">
        <f t="shared" si="60"/>
        <v>3.3751441629836895E-3</v>
      </c>
      <c r="W132" s="2"/>
      <c r="X132" s="7">
        <f t="shared" si="61"/>
        <v>-8680</v>
      </c>
      <c r="Y132" s="2"/>
      <c r="Z132" s="6">
        <f t="shared" si="62"/>
        <v>-1</v>
      </c>
    </row>
    <row r="133" spans="1:26" s="24" customFormat="1" hidden="1" outlineLevel="2" x14ac:dyDescent="0.25">
      <c r="A133" s="27"/>
      <c r="B133" s="11" t="str">
        <f>CONCATENATE("          ", "6253", " - ", "ROYALTY DUE ATHLETICS-LRG")</f>
        <v xml:space="preserve">          6253 - ROYALTY DUE ATHLETICS-LRG</v>
      </c>
      <c r="C133" s="11"/>
      <c r="D133" s="7"/>
      <c r="E133" s="2"/>
      <c r="F133" s="6">
        <f t="shared" si="55"/>
        <v>0</v>
      </c>
      <c r="G133" s="2"/>
      <c r="H133" s="7">
        <v>4037</v>
      </c>
      <c r="I133" s="2"/>
      <c r="J133" s="6">
        <f t="shared" si="56"/>
        <v>1.0076553853526795E-2</v>
      </c>
      <c r="K133" s="2"/>
      <c r="L133" s="7">
        <f t="shared" si="57"/>
        <v>-4037</v>
      </c>
      <c r="M133" s="2"/>
      <c r="N133" s="6">
        <f t="shared" si="58"/>
        <v>-1</v>
      </c>
      <c r="O133" s="11"/>
      <c r="P133" s="7">
        <v>26197.58</v>
      </c>
      <c r="Q133" s="2"/>
      <c r="R133" s="6">
        <f t="shared" si="59"/>
        <v>1.9980945569515428E-2</v>
      </c>
      <c r="S133" s="2"/>
      <c r="T133" s="7">
        <v>32296</v>
      </c>
      <c r="U133" s="2"/>
      <c r="V133" s="6">
        <f t="shared" si="60"/>
        <v>1.2558024871857285E-2</v>
      </c>
      <c r="W133" s="2"/>
      <c r="X133" s="7">
        <f t="shared" si="61"/>
        <v>-6098.4199999999983</v>
      </c>
      <c r="Y133" s="2"/>
      <c r="Z133" s="6">
        <f t="shared" si="62"/>
        <v>-0.18882895714639578</v>
      </c>
    </row>
    <row r="134" spans="1:26" s="24" customFormat="1" hidden="1" outlineLevel="2" x14ac:dyDescent="0.25">
      <c r="A134" s="27"/>
      <c r="B134" s="11" t="str">
        <f>CONCATENATE("          ", "6254", " - ", "ROYALTY &amp; COMMISSIONS")</f>
        <v xml:space="preserve">          6254 - ROYALTY &amp; COMMISSIONS</v>
      </c>
      <c r="C134" s="11"/>
      <c r="D134" s="7"/>
      <c r="E134" s="2"/>
      <c r="F134" s="6">
        <f t="shared" si="55"/>
        <v>0</v>
      </c>
      <c r="G134" s="2"/>
      <c r="H134" s="7">
        <v>1149</v>
      </c>
      <c r="I134" s="2"/>
      <c r="J134" s="6">
        <f t="shared" si="56"/>
        <v>2.8679614510037864E-3</v>
      </c>
      <c r="K134" s="2"/>
      <c r="L134" s="7">
        <f t="shared" si="57"/>
        <v>-1149</v>
      </c>
      <c r="M134" s="2"/>
      <c r="N134" s="6">
        <f t="shared" si="58"/>
        <v>-1</v>
      </c>
      <c r="O134" s="11"/>
      <c r="P134" s="7"/>
      <c r="Q134" s="2"/>
      <c r="R134" s="6">
        <f t="shared" si="59"/>
        <v>0</v>
      </c>
      <c r="S134" s="2"/>
      <c r="T134" s="7">
        <v>9192</v>
      </c>
      <c r="U134" s="2"/>
      <c r="V134" s="6">
        <f t="shared" si="60"/>
        <v>3.5742310076205155E-3</v>
      </c>
      <c r="W134" s="2"/>
      <c r="X134" s="7">
        <f t="shared" si="61"/>
        <v>-9192</v>
      </c>
      <c r="Y134" s="2"/>
      <c r="Z134" s="6">
        <f t="shared" si="62"/>
        <v>-1</v>
      </c>
    </row>
    <row r="135" spans="1:26" s="28" customFormat="1" outlineLevel="1" collapsed="1" x14ac:dyDescent="0.25">
      <c r="A135" s="29"/>
      <c r="B135" s="14" t="str">
        <f>CONCATENATE("     ","Services                                          ")</f>
        <v xml:space="preserve">     Services                                          </v>
      </c>
      <c r="C135" s="14"/>
      <c r="D135" s="1">
        <f>SUM(OSRRefD22_16x_0)</f>
        <v>81.84</v>
      </c>
      <c r="E135" s="1"/>
      <c r="F135" s="5">
        <f t="shared" ref="F135:F138" si="63">IF(D$12=0,0,D135/D$12)</f>
        <v>6.802132498459672E-4</v>
      </c>
      <c r="G135" s="1"/>
      <c r="H135" s="1">
        <f>SUM(OSRRefH22_16x_0)</f>
        <v>155</v>
      </c>
      <c r="I135" s="1"/>
      <c r="J135" s="5">
        <f t="shared" ref="J135:J138" si="64">IF(H$12=0,0,H135/H$12)</f>
        <v>3.8688775013541069E-4</v>
      </c>
      <c r="K135" s="1"/>
      <c r="L135" s="1">
        <f t="shared" ref="L135:L138" si="65">+D135-H135</f>
        <v>-73.16</v>
      </c>
      <c r="M135" s="1"/>
      <c r="N135" s="5">
        <f t="shared" ref="N135:N138" si="66">IF(H135=0,0,L135/H135)</f>
        <v>-0.47199999999999998</v>
      </c>
      <c r="O135" s="14"/>
      <c r="P135" s="1">
        <f>SUM(OSRRefP22_16x_0)</f>
        <v>356.49999999999989</v>
      </c>
      <c r="Q135" s="1"/>
      <c r="R135" s="5">
        <f t="shared" ref="R135:R138" si="67">IF(P$12=0,0,P135/P$12)</f>
        <v>2.7190324814476173E-4</v>
      </c>
      <c r="S135" s="1"/>
      <c r="T135" s="1">
        <f>SUM(OSRRefT22_16x_0)</f>
        <v>1675</v>
      </c>
      <c r="U135" s="1"/>
      <c r="V135" s="5">
        <f t="shared" ref="V135:V138" si="68">IF(T$12=0,0,T135/T$12)</f>
        <v>6.5130950149742863E-4</v>
      </c>
      <c r="W135" s="1"/>
      <c r="X135" s="1">
        <f t="shared" ref="X135:X138" si="69">+P135-T135</f>
        <v>-1318.5</v>
      </c>
      <c r="Y135" s="1"/>
      <c r="Z135" s="5">
        <f t="shared" ref="Z135:Z138" si="70">IF(T135=0,0,X135/T135)</f>
        <v>-0.78716417910447756</v>
      </c>
    </row>
    <row r="136" spans="1:26" s="24" customFormat="1" hidden="1" outlineLevel="2" x14ac:dyDescent="0.25">
      <c r="A136" s="27"/>
      <c r="B136" s="11" t="str">
        <f>CONCATENATE("          ", "6283", " - ", "PLANT SERVICE")</f>
        <v xml:space="preserve">          6283 - PLANT SERVICE</v>
      </c>
      <c r="C136" s="11"/>
      <c r="D136" s="7"/>
      <c r="E136" s="2"/>
      <c r="F136" s="6">
        <f t="shared" si="63"/>
        <v>0</v>
      </c>
      <c r="G136" s="2"/>
      <c r="H136" s="7">
        <v>0</v>
      </c>
      <c r="I136" s="2"/>
      <c r="J136" s="6">
        <f t="shared" si="64"/>
        <v>0</v>
      </c>
      <c r="K136" s="2"/>
      <c r="L136" s="7">
        <f t="shared" si="65"/>
        <v>0</v>
      </c>
      <c r="M136" s="2"/>
      <c r="N136" s="6">
        <f t="shared" si="66"/>
        <v>0</v>
      </c>
      <c r="O136" s="11"/>
      <c r="P136" s="7">
        <v>41.31</v>
      </c>
      <c r="Q136" s="2"/>
      <c r="R136" s="6">
        <f t="shared" si="67"/>
        <v>3.1507217898625841E-5</v>
      </c>
      <c r="S136" s="2"/>
      <c r="T136" s="7">
        <v>0</v>
      </c>
      <c r="U136" s="2"/>
      <c r="V136" s="6">
        <f t="shared" si="68"/>
        <v>0</v>
      </c>
      <c r="W136" s="2"/>
      <c r="X136" s="7">
        <f t="shared" si="69"/>
        <v>41.31</v>
      </c>
      <c r="Y136" s="2"/>
      <c r="Z136" s="6">
        <f t="shared" si="70"/>
        <v>0</v>
      </c>
    </row>
    <row r="137" spans="1:26" s="24" customFormat="1" hidden="1" outlineLevel="2" x14ac:dyDescent="0.25">
      <c r="A137" s="27"/>
      <c r="B137" s="11" t="str">
        <f>CONCATENATE("          ", "6284", " - ", "TRASH REMOVAL EXPENSE")</f>
        <v xml:space="preserve">          6284 - TRASH REMOVAL EXPENSE</v>
      </c>
      <c r="C137" s="11"/>
      <c r="D137" s="7">
        <v>142.57</v>
      </c>
      <c r="E137" s="2"/>
      <c r="F137" s="6">
        <f t="shared" si="63"/>
        <v>1.1849707115168565E-3</v>
      </c>
      <c r="G137" s="2"/>
      <c r="H137" s="7">
        <v>55</v>
      </c>
      <c r="I137" s="2"/>
      <c r="J137" s="6">
        <f t="shared" si="64"/>
        <v>1.3728275004804897E-4</v>
      </c>
      <c r="K137" s="2"/>
      <c r="L137" s="7">
        <f t="shared" si="65"/>
        <v>87.57</v>
      </c>
      <c r="M137" s="2"/>
      <c r="N137" s="6">
        <f t="shared" si="66"/>
        <v>1.5921818181818181</v>
      </c>
      <c r="O137" s="11"/>
      <c r="P137" s="7">
        <v>1155.58</v>
      </c>
      <c r="Q137" s="2"/>
      <c r="R137" s="6">
        <f t="shared" si="67"/>
        <v>8.8136312900736005E-4</v>
      </c>
      <c r="S137" s="2"/>
      <c r="T137" s="7">
        <v>550</v>
      </c>
      <c r="U137" s="2"/>
      <c r="V137" s="6">
        <f t="shared" si="68"/>
        <v>2.1386282138721537E-4</v>
      </c>
      <c r="W137" s="2"/>
      <c r="X137" s="7">
        <f t="shared" si="69"/>
        <v>605.57999999999993</v>
      </c>
      <c r="Y137" s="2"/>
      <c r="Z137" s="6">
        <f t="shared" si="70"/>
        <v>1.1010545454545453</v>
      </c>
    </row>
    <row r="138" spans="1:26" s="24" customFormat="1" hidden="1" outlineLevel="2" x14ac:dyDescent="0.25">
      <c r="A138" s="27"/>
      <c r="B138" s="11" t="str">
        <f>CONCATENATE("          ", "6285", " - ", "JANITORIAL SERVICES")</f>
        <v xml:space="preserve">          6285 - JANITORIAL SERVICES</v>
      </c>
      <c r="C138" s="11"/>
      <c r="D138" s="7">
        <v>-60.73</v>
      </c>
      <c r="E138" s="2"/>
      <c r="F138" s="6">
        <f t="shared" si="63"/>
        <v>-5.0475746167088934E-4</v>
      </c>
      <c r="G138" s="2"/>
      <c r="H138" s="7">
        <v>100</v>
      </c>
      <c r="I138" s="2"/>
      <c r="J138" s="6">
        <f t="shared" si="64"/>
        <v>2.4960500008736172E-4</v>
      </c>
      <c r="K138" s="2"/>
      <c r="L138" s="7">
        <f t="shared" si="65"/>
        <v>-160.72999999999999</v>
      </c>
      <c r="M138" s="2"/>
      <c r="N138" s="6">
        <f t="shared" si="66"/>
        <v>-1.6073</v>
      </c>
      <c r="O138" s="11"/>
      <c r="P138" s="7">
        <v>-840.39</v>
      </c>
      <c r="Q138" s="2"/>
      <c r="R138" s="6">
        <f t="shared" si="67"/>
        <v>-6.4096709876122412E-4</v>
      </c>
      <c r="S138" s="2"/>
      <c r="T138" s="7">
        <v>1125</v>
      </c>
      <c r="U138" s="2"/>
      <c r="V138" s="6">
        <f t="shared" si="68"/>
        <v>4.3744668011021324E-4</v>
      </c>
      <c r="W138" s="2"/>
      <c r="X138" s="7">
        <f t="shared" si="69"/>
        <v>-1965.3899999999999</v>
      </c>
      <c r="Y138" s="2"/>
      <c r="Z138" s="6">
        <f t="shared" si="70"/>
        <v>-1.7470133333333333</v>
      </c>
    </row>
    <row r="139" spans="1:26" s="28" customFormat="1" outlineLevel="1" collapsed="1" x14ac:dyDescent="0.25">
      <c r="A139" s="29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SUM(OSRRefD22_17x_0)</f>
        <v>0</v>
      </c>
      <c r="E139" s="1"/>
      <c r="F139" s="5">
        <f t="shared" ref="F139:F141" si="71">IF(D$12=0,0,D139/D$12)</f>
        <v>0</v>
      </c>
      <c r="G139" s="1"/>
      <c r="H139" s="1">
        <f>SUM(OSRRefH22_17x_0)</f>
        <v>0</v>
      </c>
      <c r="I139" s="1"/>
      <c r="J139" s="5">
        <f t="shared" ref="J139:J141" si="72">IF(H$12=0,0,H139/H$12)</f>
        <v>0</v>
      </c>
      <c r="K139" s="1"/>
      <c r="L139" s="1">
        <f t="shared" ref="L139:L141" si="73">+D139-H139</f>
        <v>0</v>
      </c>
      <c r="M139" s="1"/>
      <c r="N139" s="5">
        <f t="shared" ref="N139:N141" si="74">IF(H139=0,0,L139/H139)</f>
        <v>0</v>
      </c>
      <c r="O139" s="14"/>
      <c r="P139" s="1">
        <f>SUM(OSRRefP22_17x_0)</f>
        <v>-67.299999999999955</v>
      </c>
      <c r="Q139" s="1"/>
      <c r="R139" s="5">
        <f t="shared" ref="R139:R141" si="75">IF(P$12=0,0,P139/P$12)</f>
        <v>-5.132984179563102E-5</v>
      </c>
      <c r="S139" s="1"/>
      <c r="T139" s="1">
        <f>SUM(OSRRefT22_17x_0)</f>
        <v>1395</v>
      </c>
      <c r="U139" s="1"/>
      <c r="V139" s="5">
        <f t="shared" ref="V139:V141" si="76">IF(T$12=0,0,T139/T$12)</f>
        <v>5.4243388333666438E-4</v>
      </c>
      <c r="W139" s="1"/>
      <c r="X139" s="1">
        <f t="shared" ref="X139:X141" si="77">+P139-T139</f>
        <v>-1462.3</v>
      </c>
      <c r="Y139" s="1"/>
      <c r="Z139" s="5">
        <f t="shared" ref="Z139:Z141" si="78">IF(T139=0,0,X139/T139)</f>
        <v>-1.0482437275985663</v>
      </c>
    </row>
    <row r="140" spans="1:26" s="24" customFormat="1" hidden="1" outlineLevel="2" x14ac:dyDescent="0.25">
      <c r="A140" s="27"/>
      <c r="B140" s="11" t="str">
        <f>CONCATENATE("          ", "6258", " - ", "MEMBERSHIP DUES")</f>
        <v xml:space="preserve">          6258 - MEMBERSHIP DUES</v>
      </c>
      <c r="C140" s="11"/>
      <c r="D140" s="7"/>
      <c r="E140" s="2"/>
      <c r="F140" s="6">
        <f t="shared" si="71"/>
        <v>0</v>
      </c>
      <c r="G140" s="2"/>
      <c r="H140" s="7">
        <v>0</v>
      </c>
      <c r="I140" s="2"/>
      <c r="J140" s="6">
        <f t="shared" si="72"/>
        <v>0</v>
      </c>
      <c r="K140" s="2"/>
      <c r="L140" s="7">
        <f t="shared" si="73"/>
        <v>0</v>
      </c>
      <c r="M140" s="2"/>
      <c r="N140" s="6">
        <f t="shared" si="74"/>
        <v>0</v>
      </c>
      <c r="O140" s="11"/>
      <c r="P140" s="7">
        <v>-368.03</v>
      </c>
      <c r="Q140" s="2"/>
      <c r="R140" s="6">
        <f t="shared" si="75"/>
        <v>-2.8069720172431049E-4</v>
      </c>
      <c r="S140" s="2"/>
      <c r="T140" s="7">
        <v>1395</v>
      </c>
      <c r="U140" s="2"/>
      <c r="V140" s="6">
        <f t="shared" si="76"/>
        <v>5.4243388333666438E-4</v>
      </c>
      <c r="W140" s="2"/>
      <c r="X140" s="7">
        <f t="shared" si="77"/>
        <v>-1763.03</v>
      </c>
      <c r="Y140" s="2"/>
      <c r="Z140" s="6">
        <f t="shared" si="78"/>
        <v>-1.263820788530466</v>
      </c>
    </row>
    <row r="141" spans="1:26" s="24" customFormat="1" hidden="1" outlineLevel="2" x14ac:dyDescent="0.25">
      <c r="A141" s="27"/>
      <c r="B141" s="11" t="str">
        <f>CONCATENATE("          ", "6275", " - ", "SUBSCRIPTIONS")</f>
        <v xml:space="preserve">          6275 - SUBSCRIPTIONS</v>
      </c>
      <c r="C141" s="11"/>
      <c r="D141" s="7"/>
      <c r="E141" s="2"/>
      <c r="F141" s="6">
        <f t="shared" si="71"/>
        <v>0</v>
      </c>
      <c r="G141" s="2"/>
      <c r="H141" s="7">
        <v>0</v>
      </c>
      <c r="I141" s="2"/>
      <c r="J141" s="6">
        <f t="shared" si="72"/>
        <v>0</v>
      </c>
      <c r="K141" s="2"/>
      <c r="L141" s="7">
        <f t="shared" si="73"/>
        <v>0</v>
      </c>
      <c r="M141" s="2"/>
      <c r="N141" s="6">
        <f t="shared" si="74"/>
        <v>0</v>
      </c>
      <c r="O141" s="11"/>
      <c r="P141" s="7">
        <v>300.73</v>
      </c>
      <c r="Q141" s="2"/>
      <c r="R141" s="6">
        <f t="shared" si="75"/>
        <v>2.2936735992867946E-4</v>
      </c>
      <c r="S141" s="2"/>
      <c r="T141" s="7">
        <v>0</v>
      </c>
      <c r="U141" s="2"/>
      <c r="V141" s="6">
        <f t="shared" si="76"/>
        <v>0</v>
      </c>
      <c r="W141" s="2"/>
      <c r="X141" s="7">
        <f t="shared" si="77"/>
        <v>300.73</v>
      </c>
      <c r="Y141" s="2"/>
      <c r="Z141" s="6">
        <f t="shared" si="78"/>
        <v>0</v>
      </c>
    </row>
    <row r="142" spans="1:26" s="28" customFormat="1" outlineLevel="1" collapsed="1" x14ac:dyDescent="0.25">
      <c r="A142" s="29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SUM(OSRRefD22_18x_0)</f>
        <v>71.62</v>
      </c>
      <c r="E142" s="1"/>
      <c r="F142" s="5">
        <f t="shared" ref="F142:F150" si="79">IF(D$12=0,0,D142/D$12)</f>
        <v>5.9526970862619954E-4</v>
      </c>
      <c r="G142" s="1"/>
      <c r="H142" s="1">
        <f>SUM(OSRRefH22_18x_0)</f>
        <v>610</v>
      </c>
      <c r="I142" s="1"/>
      <c r="J142" s="5">
        <f t="shared" ref="J142:J150" si="80">IF(H$12=0,0,H142/H$12)</f>
        <v>1.5225905005329067E-3</v>
      </c>
      <c r="K142" s="1"/>
      <c r="L142" s="1">
        <f t="shared" ref="L142:L150" si="81">+D142-H142</f>
        <v>-538.38</v>
      </c>
      <c r="M142" s="1"/>
      <c r="N142" s="5">
        <f t="shared" ref="N142:N150" si="82">IF(H142=0,0,L142/H142)</f>
        <v>-0.88259016393442624</v>
      </c>
      <c r="O142" s="14"/>
      <c r="P142" s="1">
        <f>SUM(OSRRefP22_18x_0)</f>
        <v>3922.76</v>
      </c>
      <c r="Q142" s="1"/>
      <c r="R142" s="5">
        <f t="shared" ref="R142:R150" si="83">IF(P$12=0,0,P142/P$12)</f>
        <v>2.9918967340598767E-3</v>
      </c>
      <c r="S142" s="1"/>
      <c r="T142" s="1">
        <f>SUM(OSRRefT22_18x_0)</f>
        <v>5015</v>
      </c>
      <c r="U142" s="1"/>
      <c r="V142" s="5">
        <f t="shared" ref="V142:V150" si="84">IF(T$12=0,0,T142/T$12)</f>
        <v>1.9500400895579727E-3</v>
      </c>
      <c r="W142" s="1"/>
      <c r="X142" s="1">
        <f t="shared" ref="X142:X150" si="85">+P142-T142</f>
        <v>-1092.2399999999998</v>
      </c>
      <c r="Y142" s="1"/>
      <c r="Z142" s="5">
        <f t="shared" ref="Z142:Z150" si="86">IF(T142=0,0,X142/T142)</f>
        <v>-0.21779461615154533</v>
      </c>
    </row>
    <row r="143" spans="1:26" s="24" customFormat="1" hidden="1" outlineLevel="2" x14ac:dyDescent="0.25">
      <c r="A143" s="27"/>
      <c r="B143" s="11" t="str">
        <f>CONCATENATE("          ", "6234", " - ", "EXPENDABLE SUPPLIES &amp; EQUIPMEN")</f>
        <v xml:space="preserve">          6234 - EXPENDABLE SUPPLIES &amp; EQUIPMEN</v>
      </c>
      <c r="C143" s="11"/>
      <c r="D143" s="7"/>
      <c r="E143" s="2"/>
      <c r="F143" s="6">
        <f t="shared" si="79"/>
        <v>0</v>
      </c>
      <c r="G143" s="2"/>
      <c r="H143" s="7">
        <v>50</v>
      </c>
      <c r="I143" s="2"/>
      <c r="J143" s="6">
        <f t="shared" si="80"/>
        <v>1.2480250004368086E-4</v>
      </c>
      <c r="K143" s="2"/>
      <c r="L143" s="7">
        <f t="shared" si="81"/>
        <v>-50</v>
      </c>
      <c r="M143" s="2"/>
      <c r="N143" s="6">
        <f t="shared" si="82"/>
        <v>-1</v>
      </c>
      <c r="O143" s="11"/>
      <c r="P143" s="7">
        <v>396.5</v>
      </c>
      <c r="Q143" s="2"/>
      <c r="R143" s="6">
        <f t="shared" si="83"/>
        <v>3.0241132647797496E-4</v>
      </c>
      <c r="S143" s="2"/>
      <c r="T143" s="7">
        <v>400</v>
      </c>
      <c r="U143" s="2"/>
      <c r="V143" s="6">
        <f t="shared" si="84"/>
        <v>1.5553659737252025E-4</v>
      </c>
      <c r="W143" s="2"/>
      <c r="X143" s="7">
        <f t="shared" si="85"/>
        <v>-3.5</v>
      </c>
      <c r="Y143" s="2"/>
      <c r="Z143" s="6">
        <f t="shared" si="86"/>
        <v>-8.7500000000000008E-3</v>
      </c>
    </row>
    <row r="144" spans="1:26" s="24" customFormat="1" hidden="1" outlineLevel="2" x14ac:dyDescent="0.25">
      <c r="A144" s="27"/>
      <c r="B144" s="11" t="str">
        <f>CONCATENATE("          ", "6235", " - ", "COVID-19 EXPENSES")</f>
        <v xml:space="preserve">          6235 - COVID-19 EXPENSES</v>
      </c>
      <c r="C144" s="11"/>
      <c r="D144" s="7"/>
      <c r="E144" s="2"/>
      <c r="F144" s="6">
        <f t="shared" si="79"/>
        <v>0</v>
      </c>
      <c r="G144" s="2"/>
      <c r="H144" s="7">
        <v>200</v>
      </c>
      <c r="I144" s="2"/>
      <c r="J144" s="6">
        <f t="shared" si="80"/>
        <v>4.9921000017472345E-4</v>
      </c>
      <c r="K144" s="2"/>
      <c r="L144" s="7">
        <f t="shared" si="81"/>
        <v>-200</v>
      </c>
      <c r="M144" s="2"/>
      <c r="N144" s="6">
        <f t="shared" si="82"/>
        <v>-1</v>
      </c>
      <c r="O144" s="11"/>
      <c r="P144" s="7">
        <v>1292.1300000000001</v>
      </c>
      <c r="Q144" s="2"/>
      <c r="R144" s="6">
        <f t="shared" si="83"/>
        <v>9.8551008141736633E-4</v>
      </c>
      <c r="S144" s="2"/>
      <c r="T144" s="7">
        <v>1600</v>
      </c>
      <c r="U144" s="2"/>
      <c r="V144" s="6">
        <f t="shared" si="84"/>
        <v>6.2214638949008099E-4</v>
      </c>
      <c r="W144" s="2"/>
      <c r="X144" s="7">
        <f t="shared" si="85"/>
        <v>-307.86999999999989</v>
      </c>
      <c r="Y144" s="2"/>
      <c r="Z144" s="6">
        <f t="shared" si="86"/>
        <v>-0.19241874999999994</v>
      </c>
    </row>
    <row r="145" spans="1:26" s="24" customFormat="1" hidden="1" outlineLevel="2" x14ac:dyDescent="0.25">
      <c r="A145" s="27"/>
      <c r="B145" s="11" t="str">
        <f>CONCATENATE("          ", "6237", " - ", "JANITORIAL SUPPLIES")</f>
        <v xml:space="preserve">          6237 - JANITORIAL SUPPLIES</v>
      </c>
      <c r="C145" s="11"/>
      <c r="D145" s="7"/>
      <c r="E145" s="2"/>
      <c r="F145" s="6">
        <f t="shared" si="79"/>
        <v>0</v>
      </c>
      <c r="G145" s="2"/>
      <c r="H145" s="7">
        <v>60</v>
      </c>
      <c r="I145" s="2"/>
      <c r="J145" s="6">
        <f t="shared" si="80"/>
        <v>1.4976300005241705E-4</v>
      </c>
      <c r="K145" s="2"/>
      <c r="L145" s="7">
        <f t="shared" si="81"/>
        <v>-60</v>
      </c>
      <c r="M145" s="2"/>
      <c r="N145" s="6">
        <f t="shared" si="82"/>
        <v>-1</v>
      </c>
      <c r="O145" s="11"/>
      <c r="P145" s="7">
        <v>191.74</v>
      </c>
      <c r="Q145" s="2"/>
      <c r="R145" s="6">
        <f t="shared" si="83"/>
        <v>1.4624047349025705E-4</v>
      </c>
      <c r="S145" s="2"/>
      <c r="T145" s="7">
        <v>540</v>
      </c>
      <c r="U145" s="2"/>
      <c r="V145" s="6">
        <f t="shared" si="84"/>
        <v>2.0997440645290235E-4</v>
      </c>
      <c r="W145" s="2"/>
      <c r="X145" s="7">
        <f t="shared" si="85"/>
        <v>-348.26</v>
      </c>
      <c r="Y145" s="2"/>
      <c r="Z145" s="6">
        <f t="shared" si="86"/>
        <v>-0.6449259259259259</v>
      </c>
    </row>
    <row r="146" spans="1:26" s="24" customFormat="1" hidden="1" outlineLevel="2" x14ac:dyDescent="0.25">
      <c r="A146" s="27"/>
      <c r="B146" s="11" t="str">
        <f>CONCATENATE("          ", "6241", " - ", "OFFICE EXPENSE")</f>
        <v xml:space="preserve">          6241 - OFFICE EXPENSE</v>
      </c>
      <c r="C146" s="11"/>
      <c r="D146" s="7">
        <v>27.96</v>
      </c>
      <c r="E146" s="2"/>
      <c r="F146" s="6">
        <f t="shared" si="79"/>
        <v>2.3238957069517647E-4</v>
      </c>
      <c r="G146" s="2"/>
      <c r="H146" s="7">
        <v>125</v>
      </c>
      <c r="I146" s="2"/>
      <c r="J146" s="6">
        <f t="shared" si="80"/>
        <v>3.1200625010920221E-4</v>
      </c>
      <c r="K146" s="2"/>
      <c r="L146" s="7">
        <f t="shared" si="81"/>
        <v>-97.039999999999992</v>
      </c>
      <c r="M146" s="2"/>
      <c r="N146" s="6">
        <f t="shared" si="82"/>
        <v>-0.7763199999999999</v>
      </c>
      <c r="O146" s="11"/>
      <c r="P146" s="7">
        <v>932.16</v>
      </c>
      <c r="Q146" s="2"/>
      <c r="R146" s="6">
        <f t="shared" si="83"/>
        <v>7.1096025747719826E-4</v>
      </c>
      <c r="S146" s="2"/>
      <c r="T146" s="7">
        <v>1000</v>
      </c>
      <c r="U146" s="2"/>
      <c r="V146" s="6">
        <f t="shared" si="84"/>
        <v>3.8884149343130066E-4</v>
      </c>
      <c r="W146" s="2"/>
      <c r="X146" s="7">
        <f t="shared" si="85"/>
        <v>-67.840000000000032</v>
      </c>
      <c r="Y146" s="2"/>
      <c r="Z146" s="6">
        <f t="shared" si="86"/>
        <v>-6.7840000000000025E-2</v>
      </c>
    </row>
    <row r="147" spans="1:26" s="24" customFormat="1" hidden="1" outlineLevel="2" x14ac:dyDescent="0.25">
      <c r="A147" s="27"/>
      <c r="B147" s="11" t="str">
        <f>CONCATENATE("          ", "6243", " - ", "PAPER SUPPLIES")</f>
        <v xml:space="preserve">          6243 - PAPER SUPPLIES</v>
      </c>
      <c r="C147" s="11"/>
      <c r="D147" s="7"/>
      <c r="E147" s="2"/>
      <c r="F147" s="6">
        <f t="shared" si="79"/>
        <v>0</v>
      </c>
      <c r="G147" s="2"/>
      <c r="H147" s="7">
        <v>50</v>
      </c>
      <c r="I147" s="2"/>
      <c r="J147" s="6">
        <f t="shared" si="80"/>
        <v>1.2480250004368086E-4</v>
      </c>
      <c r="K147" s="2"/>
      <c r="L147" s="7">
        <f t="shared" si="81"/>
        <v>-50</v>
      </c>
      <c r="M147" s="2"/>
      <c r="N147" s="6">
        <f t="shared" si="82"/>
        <v>-1</v>
      </c>
      <c r="O147" s="11"/>
      <c r="P147" s="7"/>
      <c r="Q147" s="2"/>
      <c r="R147" s="6">
        <f t="shared" si="83"/>
        <v>0</v>
      </c>
      <c r="S147" s="2"/>
      <c r="T147" s="7">
        <v>400</v>
      </c>
      <c r="U147" s="2"/>
      <c r="V147" s="6">
        <f t="shared" si="84"/>
        <v>1.5553659737252025E-4</v>
      </c>
      <c r="W147" s="2"/>
      <c r="X147" s="7">
        <f t="shared" si="85"/>
        <v>-400</v>
      </c>
      <c r="Y147" s="2"/>
      <c r="Z147" s="6">
        <f t="shared" si="86"/>
        <v>-1</v>
      </c>
    </row>
    <row r="148" spans="1:26" s="24" customFormat="1" hidden="1" outlineLevel="2" x14ac:dyDescent="0.25">
      <c r="A148" s="27"/>
      <c r="B148" s="11" t="str">
        <f>CONCATENATE("          ", "6244", " - ", "SAFETY SUPPLY EXPENSE")</f>
        <v xml:space="preserve">          6244 - SAFETY SUPPLY EXPENSE</v>
      </c>
      <c r="C148" s="11"/>
      <c r="D148" s="7"/>
      <c r="E148" s="2"/>
      <c r="F148" s="6">
        <f t="shared" si="79"/>
        <v>0</v>
      </c>
      <c r="G148" s="2"/>
      <c r="H148" s="7">
        <v>0</v>
      </c>
      <c r="I148" s="2"/>
      <c r="J148" s="6">
        <f t="shared" si="80"/>
        <v>0</v>
      </c>
      <c r="K148" s="2"/>
      <c r="L148" s="7">
        <f t="shared" si="81"/>
        <v>0</v>
      </c>
      <c r="M148" s="2"/>
      <c r="N148" s="6">
        <f t="shared" si="82"/>
        <v>0</v>
      </c>
      <c r="O148" s="11"/>
      <c r="P148" s="7"/>
      <c r="Q148" s="2"/>
      <c r="R148" s="6">
        <f t="shared" si="83"/>
        <v>0</v>
      </c>
      <c r="S148" s="2"/>
      <c r="T148" s="7">
        <v>75</v>
      </c>
      <c r="U148" s="2"/>
      <c r="V148" s="6">
        <f t="shared" si="84"/>
        <v>2.9163112007347548E-5</v>
      </c>
      <c r="W148" s="2"/>
      <c r="X148" s="7">
        <f t="shared" si="85"/>
        <v>-75</v>
      </c>
      <c r="Y148" s="2"/>
      <c r="Z148" s="6">
        <f t="shared" si="86"/>
        <v>-1</v>
      </c>
    </row>
    <row r="149" spans="1:26" s="24" customFormat="1" hidden="1" outlineLevel="2" x14ac:dyDescent="0.25">
      <c r="A149" s="27"/>
      <c r="B149" s="11" t="str">
        <f>CONCATENATE("          ", "6245", " - ", "PRINTING")</f>
        <v xml:space="preserve">          6245 - PRINTING</v>
      </c>
      <c r="C149" s="11"/>
      <c r="D149" s="7"/>
      <c r="E149" s="2"/>
      <c r="F149" s="6">
        <f t="shared" si="79"/>
        <v>0</v>
      </c>
      <c r="G149" s="2"/>
      <c r="H149" s="7">
        <v>50</v>
      </c>
      <c r="I149" s="2"/>
      <c r="J149" s="6">
        <f t="shared" si="80"/>
        <v>1.2480250004368086E-4</v>
      </c>
      <c r="K149" s="2"/>
      <c r="L149" s="7">
        <f t="shared" si="81"/>
        <v>-50</v>
      </c>
      <c r="M149" s="2"/>
      <c r="N149" s="6">
        <f t="shared" si="82"/>
        <v>-1</v>
      </c>
      <c r="O149" s="11"/>
      <c r="P149" s="7"/>
      <c r="Q149" s="2"/>
      <c r="R149" s="6">
        <f t="shared" si="83"/>
        <v>0</v>
      </c>
      <c r="S149" s="2"/>
      <c r="T149" s="7">
        <v>400</v>
      </c>
      <c r="U149" s="2"/>
      <c r="V149" s="6">
        <f t="shared" si="84"/>
        <v>1.5553659737252025E-4</v>
      </c>
      <c r="W149" s="2"/>
      <c r="X149" s="7">
        <f t="shared" si="85"/>
        <v>-400</v>
      </c>
      <c r="Y149" s="2"/>
      <c r="Z149" s="6">
        <f t="shared" si="86"/>
        <v>-1</v>
      </c>
    </row>
    <row r="150" spans="1:26" s="24" customFormat="1" hidden="1" outlineLevel="2" x14ac:dyDescent="0.25">
      <c r="A150" s="27"/>
      <c r="B150" s="11" t="str">
        <f>CONCATENATE("          ", "6247", " - ", "STORE SUPPLIES")</f>
        <v xml:space="preserve">          6247 - STORE SUPPLIES</v>
      </c>
      <c r="C150" s="11"/>
      <c r="D150" s="7">
        <v>43.66</v>
      </c>
      <c r="E150" s="2"/>
      <c r="F150" s="6">
        <f t="shared" si="79"/>
        <v>3.6288013793102299E-4</v>
      </c>
      <c r="G150" s="2"/>
      <c r="H150" s="7">
        <v>75</v>
      </c>
      <c r="I150" s="2"/>
      <c r="J150" s="6">
        <f t="shared" si="80"/>
        <v>1.8720375006552132E-4</v>
      </c>
      <c r="K150" s="2"/>
      <c r="L150" s="7">
        <f t="shared" si="81"/>
        <v>-31.340000000000003</v>
      </c>
      <c r="M150" s="2"/>
      <c r="N150" s="6">
        <f t="shared" si="82"/>
        <v>-0.41786666666666672</v>
      </c>
      <c r="O150" s="11"/>
      <c r="P150" s="7">
        <v>1110.23</v>
      </c>
      <c r="Q150" s="2"/>
      <c r="R150" s="6">
        <f t="shared" si="83"/>
        <v>8.4677459519707978E-4</v>
      </c>
      <c r="S150" s="2"/>
      <c r="T150" s="7">
        <v>600</v>
      </c>
      <c r="U150" s="2"/>
      <c r="V150" s="6">
        <f t="shared" si="84"/>
        <v>2.3330489605878039E-4</v>
      </c>
      <c r="W150" s="2"/>
      <c r="X150" s="7">
        <f t="shared" si="85"/>
        <v>510.23</v>
      </c>
      <c r="Y150" s="2"/>
      <c r="Z150" s="6">
        <f t="shared" si="86"/>
        <v>0.85038333333333338</v>
      </c>
    </row>
    <row r="151" spans="1:26" s="28" customFormat="1" outlineLevel="1" collapsed="1" x14ac:dyDescent="0.25">
      <c r="A151" s="29"/>
      <c r="B151" s="14" t="str">
        <f>CONCATENATE("     ","Telephone/Data Lines                              ")</f>
        <v xml:space="preserve">     Telephone/Data Lines                              </v>
      </c>
      <c r="C151" s="14"/>
      <c r="D151" s="1">
        <f>SUM(OSRRefD22_19x_0)</f>
        <v>134.04</v>
      </c>
      <c r="E151" s="1"/>
      <c r="F151" s="5">
        <f t="shared" ref="F151:F153" si="87">IF(D$12=0,0,D151/D$12)</f>
        <v>1.1140736071524125E-3</v>
      </c>
      <c r="G151" s="1"/>
      <c r="H151" s="1">
        <f>SUM(OSRRefH22_19x_0)</f>
        <v>830</v>
      </c>
      <c r="I151" s="1"/>
      <c r="J151" s="5">
        <f t="shared" ref="J151:J153" si="88">IF(H$12=0,0,H151/H$12)</f>
        <v>2.0717215007251023E-3</v>
      </c>
      <c r="K151" s="1"/>
      <c r="L151" s="1">
        <f t="shared" ref="L151:L153" si="89">+D151-H151</f>
        <v>-695.96</v>
      </c>
      <c r="M151" s="1"/>
      <c r="N151" s="5">
        <f t="shared" ref="N151:N153" si="90">IF(H151=0,0,L151/H151)</f>
        <v>-0.83850602409638564</v>
      </c>
      <c r="O151" s="14"/>
      <c r="P151" s="1">
        <f>SUM(OSRRefP22_19x_0)</f>
        <v>5101.83</v>
      </c>
      <c r="Q151" s="1"/>
      <c r="R151" s="5">
        <f t="shared" ref="R151:R153" si="91">IF(P$12=0,0,P151/P$12)</f>
        <v>3.8911757320684156E-3</v>
      </c>
      <c r="S151" s="1"/>
      <c r="T151" s="1">
        <f>SUM(OSRRefT22_19x_0)</f>
        <v>6640</v>
      </c>
      <c r="U151" s="1"/>
      <c r="V151" s="5">
        <f t="shared" ref="V151:V153" si="92">IF(T$12=0,0,T151/T$12)</f>
        <v>2.5819075163838363E-3</v>
      </c>
      <c r="W151" s="1"/>
      <c r="X151" s="1">
        <f t="shared" ref="X151:X153" si="93">+P151-T151</f>
        <v>-1538.17</v>
      </c>
      <c r="Y151" s="1"/>
      <c r="Z151" s="5">
        <f t="shared" ref="Z151:Z153" si="94">IF(T151=0,0,X151/T151)</f>
        <v>-0.23165210843373496</v>
      </c>
    </row>
    <row r="152" spans="1:26" s="24" customFormat="1" hidden="1" outlineLevel="2" x14ac:dyDescent="0.25">
      <c r="A152" s="27"/>
      <c r="B152" s="11" t="str">
        <f>CONCATENATE("          ", "6303", " - ", "DATA PHONE LINES")</f>
        <v xml:space="preserve">          6303 - DATA PHONE LINES</v>
      </c>
      <c r="C152" s="11"/>
      <c r="D152" s="7"/>
      <c r="E152" s="2"/>
      <c r="F152" s="6">
        <f t="shared" si="87"/>
        <v>0</v>
      </c>
      <c r="G152" s="2"/>
      <c r="H152" s="7">
        <v>230</v>
      </c>
      <c r="I152" s="2"/>
      <c r="J152" s="6">
        <f t="shared" si="88"/>
        <v>5.7409150020093199E-4</v>
      </c>
      <c r="K152" s="2"/>
      <c r="L152" s="7">
        <f t="shared" si="89"/>
        <v>-230</v>
      </c>
      <c r="M152" s="2"/>
      <c r="N152" s="6">
        <f t="shared" si="90"/>
        <v>-1</v>
      </c>
      <c r="O152" s="11"/>
      <c r="P152" s="7"/>
      <c r="Q152" s="2"/>
      <c r="R152" s="6">
        <f t="shared" si="91"/>
        <v>0</v>
      </c>
      <c r="S152" s="2"/>
      <c r="T152" s="7">
        <v>1840</v>
      </c>
      <c r="U152" s="2"/>
      <c r="V152" s="6">
        <f t="shared" si="92"/>
        <v>7.1546834791359315E-4</v>
      </c>
      <c r="W152" s="2"/>
      <c r="X152" s="7">
        <f t="shared" si="93"/>
        <v>-1840</v>
      </c>
      <c r="Y152" s="2"/>
      <c r="Z152" s="6">
        <f t="shared" si="94"/>
        <v>-1</v>
      </c>
    </row>
    <row r="153" spans="1:26" s="24" customFormat="1" hidden="1" outlineLevel="2" x14ac:dyDescent="0.25">
      <c r="A153" s="27"/>
      <c r="B153" s="11" t="str">
        <f>CONCATENATE("          ", "6309", " - ", "TELEPHONE")</f>
        <v xml:space="preserve">          6309 - TELEPHONE</v>
      </c>
      <c r="C153" s="11"/>
      <c r="D153" s="7">
        <v>134.04</v>
      </c>
      <c r="E153" s="2"/>
      <c r="F153" s="6">
        <f t="shared" si="87"/>
        <v>1.1140736071524125E-3</v>
      </c>
      <c r="G153" s="2"/>
      <c r="H153" s="7">
        <v>600</v>
      </c>
      <c r="I153" s="2"/>
      <c r="J153" s="6">
        <f t="shared" si="88"/>
        <v>1.4976300005241706E-3</v>
      </c>
      <c r="K153" s="2"/>
      <c r="L153" s="7">
        <f t="shared" si="89"/>
        <v>-465.96000000000004</v>
      </c>
      <c r="M153" s="2"/>
      <c r="N153" s="6">
        <f t="shared" si="90"/>
        <v>-0.77660000000000007</v>
      </c>
      <c r="O153" s="11"/>
      <c r="P153" s="7">
        <v>5101.83</v>
      </c>
      <c r="Q153" s="2"/>
      <c r="R153" s="6">
        <f t="shared" si="91"/>
        <v>3.8911757320684156E-3</v>
      </c>
      <c r="S153" s="2"/>
      <c r="T153" s="7">
        <v>4800</v>
      </c>
      <c r="U153" s="2"/>
      <c r="V153" s="6">
        <f t="shared" si="92"/>
        <v>1.8664391684702431E-3</v>
      </c>
      <c r="W153" s="2"/>
      <c r="X153" s="7">
        <f t="shared" si="93"/>
        <v>301.82999999999993</v>
      </c>
      <c r="Y153" s="2"/>
      <c r="Z153" s="6">
        <f t="shared" si="94"/>
        <v>6.2881249999999986E-2</v>
      </c>
    </row>
    <row r="154" spans="1:26" s="28" customFormat="1" outlineLevel="1" collapsed="1" x14ac:dyDescent="0.25">
      <c r="A154" s="29"/>
      <c r="B154" s="14" t="str">
        <f>CONCATENATE("     ","Training                                          ")</f>
        <v xml:space="preserve">     Training                                          </v>
      </c>
      <c r="C154" s="14"/>
      <c r="D154" s="1">
        <f>SUM(OSRRefD22_20x_0)</f>
        <v>0</v>
      </c>
      <c r="E154" s="1"/>
      <c r="F154" s="5">
        <f t="shared" ref="F154:F158" si="95">IF(D$12=0,0,D154/D$12)</f>
        <v>0</v>
      </c>
      <c r="G154" s="1"/>
      <c r="H154" s="1">
        <f>SUM(OSRRefH22_20x_0)</f>
        <v>0</v>
      </c>
      <c r="I154" s="1"/>
      <c r="J154" s="5">
        <f t="shared" ref="J154:J158" si="96">IF(H$12=0,0,H154/H$12)</f>
        <v>0</v>
      </c>
      <c r="K154" s="1"/>
      <c r="L154" s="1">
        <f t="shared" ref="L154:L158" si="97">+D154-H154</f>
        <v>0</v>
      </c>
      <c r="M154" s="1"/>
      <c r="N154" s="5">
        <f t="shared" ref="N154:N158" si="98">IF(H154=0,0,L154/H154)</f>
        <v>0</v>
      </c>
      <c r="O154" s="14"/>
      <c r="P154" s="1">
        <f>SUM(OSRRefP22_20x_0)</f>
        <v>0</v>
      </c>
      <c r="Q154" s="1"/>
      <c r="R154" s="5">
        <f t="shared" ref="R154:R158" si="99">IF(P$12=0,0,P154/P$12)</f>
        <v>0</v>
      </c>
      <c r="S154" s="1"/>
      <c r="T154" s="1">
        <f>SUM(OSRRefT22_20x_0)</f>
        <v>3600</v>
      </c>
      <c r="U154" s="1"/>
      <c r="V154" s="5">
        <f t="shared" ref="V154:V158" si="100">IF(T$12=0,0,T154/T$12)</f>
        <v>1.3998293763526823E-3</v>
      </c>
      <c r="W154" s="1"/>
      <c r="X154" s="1">
        <f t="shared" ref="X154:X158" si="101">+P154-T154</f>
        <v>-3600</v>
      </c>
      <c r="Y154" s="1"/>
      <c r="Z154" s="5">
        <f t="shared" ref="Z154:Z158" si="102">IF(T154=0,0,X154/T154)</f>
        <v>-1</v>
      </c>
    </row>
    <row r="155" spans="1:26" s="24" customFormat="1" hidden="1" outlineLevel="2" x14ac:dyDescent="0.25">
      <c r="A155" s="27"/>
      <c r="B155" s="11" t="str">
        <f>CONCATENATE("          ", "6376", " - ", "TRAINING")</f>
        <v xml:space="preserve">          6376 - TRAINING</v>
      </c>
      <c r="C155" s="11"/>
      <c r="D155" s="7"/>
      <c r="E155" s="2"/>
      <c r="F155" s="6">
        <f t="shared" si="95"/>
        <v>0</v>
      </c>
      <c r="G155" s="2"/>
      <c r="H155" s="7">
        <v>0</v>
      </c>
      <c r="I155" s="2"/>
      <c r="J155" s="6">
        <f t="shared" si="96"/>
        <v>0</v>
      </c>
      <c r="K155" s="2"/>
      <c r="L155" s="7">
        <f t="shared" si="97"/>
        <v>0</v>
      </c>
      <c r="M155" s="2"/>
      <c r="N155" s="6">
        <f t="shared" si="98"/>
        <v>0</v>
      </c>
      <c r="O155" s="11"/>
      <c r="P155" s="7"/>
      <c r="Q155" s="2"/>
      <c r="R155" s="6">
        <f t="shared" si="99"/>
        <v>0</v>
      </c>
      <c r="S155" s="2"/>
      <c r="T155" s="7">
        <v>3600</v>
      </c>
      <c r="U155" s="2"/>
      <c r="V155" s="6">
        <f t="shared" si="100"/>
        <v>1.3998293763526823E-3</v>
      </c>
      <c r="W155" s="2"/>
      <c r="X155" s="7">
        <f t="shared" si="101"/>
        <v>-3600</v>
      </c>
      <c r="Y155" s="2"/>
      <c r="Z155" s="6">
        <f t="shared" si="102"/>
        <v>-1</v>
      </c>
    </row>
    <row r="156" spans="1:26" s="28" customFormat="1" outlineLevel="1" collapsed="1" x14ac:dyDescent="0.25">
      <c r="A156" s="29"/>
      <c r="B156" s="14" t="str">
        <f>CONCATENATE("     ","Travel                                            ")</f>
        <v xml:space="preserve">     Travel                                            </v>
      </c>
      <c r="C156" s="14"/>
      <c r="D156" s="1">
        <f>SUM(OSRRefD22_21x_0)</f>
        <v>0</v>
      </c>
      <c r="E156" s="1"/>
      <c r="F156" s="5">
        <f t="shared" si="95"/>
        <v>0</v>
      </c>
      <c r="G156" s="1"/>
      <c r="H156" s="1">
        <f>SUM(OSRRefH22_21x_0)</f>
        <v>50</v>
      </c>
      <c r="I156" s="1"/>
      <c r="J156" s="5">
        <f t="shared" si="96"/>
        <v>1.2480250004368086E-4</v>
      </c>
      <c r="K156" s="1"/>
      <c r="L156" s="1">
        <f t="shared" si="97"/>
        <v>-50</v>
      </c>
      <c r="M156" s="1"/>
      <c r="N156" s="5">
        <f t="shared" si="98"/>
        <v>-1</v>
      </c>
      <c r="O156" s="14"/>
      <c r="P156" s="1">
        <f>SUM(OSRRefP22_21x_0)</f>
        <v>451.26</v>
      </c>
      <c r="Q156" s="1"/>
      <c r="R156" s="5">
        <f t="shared" si="99"/>
        <v>3.4417688571614368E-4</v>
      </c>
      <c r="S156" s="1"/>
      <c r="T156" s="1">
        <f>SUM(OSRRefT22_21x_0)</f>
        <v>600</v>
      </c>
      <c r="U156" s="1"/>
      <c r="V156" s="5">
        <f t="shared" si="100"/>
        <v>2.3330489605878039E-4</v>
      </c>
      <c r="W156" s="1"/>
      <c r="X156" s="1">
        <f t="shared" si="101"/>
        <v>-148.74</v>
      </c>
      <c r="Y156" s="1"/>
      <c r="Z156" s="5">
        <f t="shared" si="102"/>
        <v>-0.24790000000000001</v>
      </c>
    </row>
    <row r="157" spans="1:26" s="24" customFormat="1" hidden="1" outlineLevel="2" x14ac:dyDescent="0.25">
      <c r="A157" s="27"/>
      <c r="B157" s="11" t="str">
        <f>CONCATENATE("          ", "6294", " - ", "TRAVEL OPERATIONAL")</f>
        <v xml:space="preserve">          6294 - TRAVEL OPERATIONAL</v>
      </c>
      <c r="C157" s="11"/>
      <c r="D157" s="7"/>
      <c r="E157" s="2"/>
      <c r="F157" s="6">
        <f t="shared" si="95"/>
        <v>0</v>
      </c>
      <c r="G157" s="2"/>
      <c r="H157" s="7">
        <v>25</v>
      </c>
      <c r="I157" s="2"/>
      <c r="J157" s="6">
        <f t="shared" si="96"/>
        <v>6.2401250021840431E-5</v>
      </c>
      <c r="K157" s="2"/>
      <c r="L157" s="7">
        <f t="shared" si="97"/>
        <v>-25</v>
      </c>
      <c r="M157" s="2"/>
      <c r="N157" s="6">
        <f t="shared" si="98"/>
        <v>-1</v>
      </c>
      <c r="O157" s="11"/>
      <c r="P157" s="7">
        <v>451.26</v>
      </c>
      <c r="Q157" s="2"/>
      <c r="R157" s="6">
        <f t="shared" si="99"/>
        <v>3.4417688571614368E-4</v>
      </c>
      <c r="S157" s="2"/>
      <c r="T157" s="7">
        <v>200</v>
      </c>
      <c r="U157" s="2"/>
      <c r="V157" s="6">
        <f t="shared" si="100"/>
        <v>7.7768298686260124E-5</v>
      </c>
      <c r="W157" s="2"/>
      <c r="X157" s="7">
        <f t="shared" si="101"/>
        <v>251.26</v>
      </c>
      <c r="Y157" s="2"/>
      <c r="Z157" s="6">
        <f t="shared" si="102"/>
        <v>1.2563</v>
      </c>
    </row>
    <row r="158" spans="1:26" s="24" customFormat="1" hidden="1" outlineLevel="2" x14ac:dyDescent="0.25">
      <c r="A158" s="27"/>
      <c r="B158" s="11" t="str">
        <f>CONCATENATE("          ", "6298", " - ", "VEHICLE MILEAGE")</f>
        <v xml:space="preserve">          6298 - VEHICLE MILEAGE</v>
      </c>
      <c r="C158" s="11"/>
      <c r="D158" s="7"/>
      <c r="E158" s="2"/>
      <c r="F158" s="6">
        <f t="shared" si="95"/>
        <v>0</v>
      </c>
      <c r="G158" s="2"/>
      <c r="H158" s="7">
        <v>25</v>
      </c>
      <c r="I158" s="2"/>
      <c r="J158" s="6">
        <f t="shared" si="96"/>
        <v>6.2401250021840431E-5</v>
      </c>
      <c r="K158" s="2"/>
      <c r="L158" s="7">
        <f t="shared" si="97"/>
        <v>-25</v>
      </c>
      <c r="M158" s="2"/>
      <c r="N158" s="6">
        <f t="shared" si="98"/>
        <v>-1</v>
      </c>
      <c r="O158" s="11"/>
      <c r="P158" s="7"/>
      <c r="Q158" s="2"/>
      <c r="R158" s="6">
        <f t="shared" si="99"/>
        <v>0</v>
      </c>
      <c r="S158" s="2"/>
      <c r="T158" s="7">
        <v>400</v>
      </c>
      <c r="U158" s="2"/>
      <c r="V158" s="6">
        <f t="shared" si="100"/>
        <v>1.5553659737252025E-4</v>
      </c>
      <c r="W158" s="2"/>
      <c r="X158" s="7">
        <f t="shared" si="101"/>
        <v>-400</v>
      </c>
      <c r="Y158" s="2"/>
      <c r="Z158" s="6">
        <f t="shared" si="102"/>
        <v>-1</v>
      </c>
    </row>
    <row r="159" spans="1:26" s="28" customFormat="1" outlineLevel="1" collapsed="1" x14ac:dyDescent="0.25">
      <c r="A159" s="29"/>
      <c r="B159" s="14" t="str">
        <f>CONCATENATE("     ","Utilities                                         ")</f>
        <v xml:space="preserve">     Utilities                                         </v>
      </c>
      <c r="C159" s="14"/>
      <c r="D159" s="1">
        <f>SUM(OSRRefD22_22x_0)</f>
        <v>28.14</v>
      </c>
      <c r="E159" s="1"/>
      <c r="F159" s="5">
        <f t="shared" ref="F159:F160" si="103">IF(D$12=0,0,D159/D$12)</f>
        <v>2.3388564089278489E-4</v>
      </c>
      <c r="G159" s="1"/>
      <c r="H159" s="1">
        <f>SUM(OSRRefH22_22x_0)</f>
        <v>2800</v>
      </c>
      <c r="I159" s="1"/>
      <c r="J159" s="5">
        <f t="shared" ref="J159:J160" si="104">IF(H$12=0,0,H159/H$12)</f>
        <v>6.9889400024461291E-3</v>
      </c>
      <c r="K159" s="1"/>
      <c r="L159" s="1">
        <f t="shared" ref="L159:L160" si="105">+D159-H159</f>
        <v>-2771.86</v>
      </c>
      <c r="M159" s="1"/>
      <c r="N159" s="5">
        <f t="shared" ref="N159:N160" si="106">IF(H159=0,0,L159/H159)</f>
        <v>-0.98995</v>
      </c>
      <c r="O159" s="14"/>
      <c r="P159" s="1">
        <f>SUM(OSRRefP22_22x_0)</f>
        <v>205.15</v>
      </c>
      <c r="Q159" s="1"/>
      <c r="R159" s="5">
        <f t="shared" ref="R159:R160" si="107">IF(P$12=0,0,P159/P$12)</f>
        <v>1.5646830675146672E-4</v>
      </c>
      <c r="S159" s="1"/>
      <c r="T159" s="1">
        <f>SUM(OSRRefT22_22x_0)</f>
        <v>3775</v>
      </c>
      <c r="U159" s="1"/>
      <c r="V159" s="5">
        <f t="shared" ref="V159:V160" si="108">IF(T$12=0,0,T159/T$12)</f>
        <v>1.4678766377031599E-3</v>
      </c>
      <c r="W159" s="1"/>
      <c r="X159" s="1">
        <f t="shared" ref="X159:X160" si="109">+P159-T159</f>
        <v>-3569.85</v>
      </c>
      <c r="Y159" s="1"/>
      <c r="Z159" s="5">
        <f t="shared" ref="Z159:Z160" si="110">IF(T159=0,0,X159/T159)</f>
        <v>-0.94565562913907286</v>
      </c>
    </row>
    <row r="160" spans="1:26" s="24" customFormat="1" hidden="1" outlineLevel="2" x14ac:dyDescent="0.25">
      <c r="A160" s="27"/>
      <c r="B160" s="11" t="str">
        <f>CONCATENATE("          ", "6274", " - ", "UTILITIES")</f>
        <v xml:space="preserve">          6274 - UTILITIES</v>
      </c>
      <c r="C160" s="11"/>
      <c r="D160" s="7">
        <v>28.14</v>
      </c>
      <c r="E160" s="2"/>
      <c r="F160" s="6">
        <f t="shared" si="103"/>
        <v>2.3388564089278489E-4</v>
      </c>
      <c r="G160" s="2"/>
      <c r="H160" s="7">
        <v>2800</v>
      </c>
      <c r="I160" s="2"/>
      <c r="J160" s="6">
        <f t="shared" si="104"/>
        <v>6.9889400024461291E-3</v>
      </c>
      <c r="K160" s="2"/>
      <c r="L160" s="7">
        <f t="shared" si="105"/>
        <v>-2771.86</v>
      </c>
      <c r="M160" s="2"/>
      <c r="N160" s="6">
        <f t="shared" si="106"/>
        <v>-0.98995</v>
      </c>
      <c r="O160" s="11"/>
      <c r="P160" s="7">
        <v>205.15</v>
      </c>
      <c r="Q160" s="2"/>
      <c r="R160" s="6">
        <f t="shared" si="107"/>
        <v>1.5646830675146672E-4</v>
      </c>
      <c r="S160" s="2"/>
      <c r="T160" s="7">
        <v>3775</v>
      </c>
      <c r="U160" s="2"/>
      <c r="V160" s="6">
        <f t="shared" si="108"/>
        <v>1.4678766377031599E-3</v>
      </c>
      <c r="W160" s="2"/>
      <c r="X160" s="7">
        <f t="shared" si="109"/>
        <v>-3569.85</v>
      </c>
      <c r="Y160" s="2"/>
      <c r="Z160" s="6">
        <f t="shared" si="110"/>
        <v>-0.94565562913907286</v>
      </c>
    </row>
    <row r="161" spans="1:26" s="58" customFormat="1" x14ac:dyDescent="0.25">
      <c r="A161" s="36"/>
      <c r="B161" s="36"/>
      <c r="C161" s="36"/>
      <c r="D161" s="1"/>
      <c r="E161" s="1"/>
      <c r="F161" s="5"/>
      <c r="G161" s="1"/>
      <c r="H161" s="1"/>
      <c r="I161" s="1"/>
      <c r="J161" s="5"/>
      <c r="K161" s="1"/>
      <c r="L161" s="1"/>
      <c r="M161" s="1"/>
      <c r="N161" s="5"/>
      <c r="O161" s="36"/>
      <c r="P161" s="1"/>
      <c r="Q161" s="1"/>
      <c r="R161" s="5"/>
      <c r="S161" s="1"/>
      <c r="T161" s="1"/>
      <c r="U161" s="1"/>
      <c r="V161" s="5"/>
      <c r="W161" s="1"/>
      <c r="X161" s="1"/>
      <c r="Y161" s="1"/>
      <c r="Z161" s="5"/>
    </row>
    <row r="162" spans="1:26" s="23" customFormat="1" collapsed="1" x14ac:dyDescent="0.25">
      <c r="A162" s="10"/>
      <c r="B162" s="26" t="s">
        <v>0</v>
      </c>
      <c r="C162" s="10"/>
      <c r="D162" s="4">
        <f>SUM(OSRRefD25x_0)</f>
        <v>-3986.08</v>
      </c>
      <c r="E162" s="4"/>
      <c r="F162" s="12">
        <f t="shared" ref="F162:F165" si="111">IF(D$12=0,0,D162/D$12)</f>
        <v>-3.3130308296016771E-2</v>
      </c>
      <c r="G162" s="4"/>
      <c r="H162" s="4">
        <f>SUM(OSRRefH25x_0)</f>
        <v>8075</v>
      </c>
      <c r="I162" s="4"/>
      <c r="J162" s="12">
        <f t="shared" ref="J162:J165" si="112">IF(H$12=0,0,H162/H$12)</f>
        <v>2.0155603757054462E-2</v>
      </c>
      <c r="K162" s="4"/>
      <c r="L162" s="4">
        <f t="shared" ref="L162:L165" si="113">+D162-H162</f>
        <v>-12061.08</v>
      </c>
      <c r="M162" s="4"/>
      <c r="N162" s="12">
        <f t="shared" ref="N162:N165" si="114">IF(H162=0,0,L162/H162)</f>
        <v>-1.4936321981424148</v>
      </c>
      <c r="O162" s="10"/>
      <c r="P162" s="4">
        <f>SUM(OSRRefP25x_0)</f>
        <v>217793.07</v>
      </c>
      <c r="Q162" s="4"/>
      <c r="R162" s="12">
        <f t="shared" ref="R162:R165" si="115">IF(P$12=0,0,P162/P$12)</f>
        <v>0.16611120099977414</v>
      </c>
      <c r="S162" s="4"/>
      <c r="T162" s="4">
        <f>SUM(OSRRefT25x_0)</f>
        <v>238220</v>
      </c>
      <c r="U162" s="4"/>
      <c r="V162" s="12">
        <f t="shared" ref="V162:V165" si="116">IF(T$12=0,0,T162/T$12)</f>
        <v>9.262982056520444E-2</v>
      </c>
      <c r="W162" s="4"/>
      <c r="X162" s="4">
        <f t="shared" ref="X162:X165" si="117">+P162-T162</f>
        <v>-20426.929999999993</v>
      </c>
      <c r="Y162" s="4"/>
      <c r="Z162" s="12">
        <f t="shared" ref="Z162:Z165" si="118">IF(T162=0,0,X162/T162)</f>
        <v>-8.5748173956846585E-2</v>
      </c>
    </row>
    <row r="163" spans="1:26" s="24" customFormat="1" hidden="1" outlineLevel="1" x14ac:dyDescent="0.25">
      <c r="A163" s="51"/>
      <c r="B163" s="11" t="str">
        <f>CONCATENATE("          ", "9150", " - ", "MISC. INCOME")</f>
        <v xml:space="preserve">          9150 - MISC. INCOME</v>
      </c>
      <c r="C163" s="11"/>
      <c r="D163" s="2">
        <f t="shared" ref="D163:D164" si="119">0</f>
        <v>0</v>
      </c>
      <c r="E163" s="2"/>
      <c r="F163" s="22">
        <f t="shared" si="111"/>
        <v>0</v>
      </c>
      <c r="G163" s="2"/>
      <c r="H163" s="2">
        <v>8075</v>
      </c>
      <c r="I163" s="2"/>
      <c r="J163" s="22">
        <f t="shared" si="112"/>
        <v>2.0155603757054462E-2</v>
      </c>
      <c r="K163" s="2"/>
      <c r="L163" s="2">
        <f t="shared" si="113"/>
        <v>-8075</v>
      </c>
      <c r="M163" s="2"/>
      <c r="N163" s="22">
        <f t="shared" si="114"/>
        <v>-1</v>
      </c>
      <c r="O163" s="11"/>
      <c r="P163" s="2">
        <f>--46373.31</f>
        <v>46373.31</v>
      </c>
      <c r="Q163" s="2"/>
      <c r="R163" s="22">
        <f t="shared" si="115"/>
        <v>3.5369014351259366E-2</v>
      </c>
      <c r="S163" s="2"/>
      <c r="T163" s="2">
        <v>64600</v>
      </c>
      <c r="U163" s="2"/>
      <c r="V163" s="22">
        <f t="shared" si="116"/>
        <v>2.5119160475662022E-2</v>
      </c>
      <c r="W163" s="2"/>
      <c r="X163" s="2">
        <f t="shared" si="117"/>
        <v>-18226.690000000002</v>
      </c>
      <c r="Y163" s="2"/>
      <c r="Z163" s="22">
        <f t="shared" si="118"/>
        <v>-0.28214690402476783</v>
      </c>
    </row>
    <row r="164" spans="1:26" s="24" customFormat="1" hidden="1" outlineLevel="1" x14ac:dyDescent="0.25">
      <c r="A164" s="51"/>
      <c r="B164" s="11" t="str">
        <f>CONCATENATE("          ", "9151", " - ", "MISC. INCOME")</f>
        <v xml:space="preserve">          9151 - MISC. INCOME</v>
      </c>
      <c r="C164" s="11"/>
      <c r="D164" s="2">
        <f t="shared" si="119"/>
        <v>0</v>
      </c>
      <c r="E164" s="2"/>
      <c r="F164" s="22">
        <f t="shared" si="111"/>
        <v>0</v>
      </c>
      <c r="G164" s="2"/>
      <c r="H164" s="2">
        <v>0</v>
      </c>
      <c r="I164" s="2"/>
      <c r="J164" s="22">
        <f t="shared" si="112"/>
        <v>0</v>
      </c>
      <c r="K164" s="2"/>
      <c r="L164" s="2">
        <f t="shared" si="113"/>
        <v>0</v>
      </c>
      <c r="M164" s="2"/>
      <c r="N164" s="22">
        <f t="shared" si="114"/>
        <v>0</v>
      </c>
      <c r="O164" s="11"/>
      <c r="P164" s="2">
        <f>0</f>
        <v>0</v>
      </c>
      <c r="Q164" s="2"/>
      <c r="R164" s="22">
        <f t="shared" si="115"/>
        <v>0</v>
      </c>
      <c r="S164" s="2"/>
      <c r="T164" s="2">
        <v>173620</v>
      </c>
      <c r="U164" s="2"/>
      <c r="V164" s="22">
        <f t="shared" si="116"/>
        <v>6.7510660089542415E-2</v>
      </c>
      <c r="W164" s="2"/>
      <c r="X164" s="2">
        <f t="shared" si="117"/>
        <v>-173620</v>
      </c>
      <c r="Y164" s="2"/>
      <c r="Z164" s="22">
        <f t="shared" si="118"/>
        <v>-1</v>
      </c>
    </row>
    <row r="165" spans="1:26" s="24" customFormat="1" hidden="1" outlineLevel="1" x14ac:dyDescent="0.25">
      <c r="A165" s="51"/>
      <c r="B165" s="11" t="str">
        <f>CONCATENATE("          ", "9163", " - ", "MISC. INCOME")</f>
        <v xml:space="preserve">          9163 - MISC. INCOME</v>
      </c>
      <c r="C165" s="11"/>
      <c r="D165" s="2">
        <f>-3986.08</f>
        <v>-3986.08</v>
      </c>
      <c r="E165" s="2"/>
      <c r="F165" s="22">
        <f t="shared" si="111"/>
        <v>-3.3130308296016771E-2</v>
      </c>
      <c r="G165" s="2"/>
      <c r="H165" s="2"/>
      <c r="I165" s="2"/>
      <c r="J165" s="22">
        <f t="shared" si="112"/>
        <v>0</v>
      </c>
      <c r="K165" s="2"/>
      <c r="L165" s="2">
        <f t="shared" si="113"/>
        <v>-3986.08</v>
      </c>
      <c r="M165" s="2"/>
      <c r="N165" s="22">
        <f t="shared" si="114"/>
        <v>0</v>
      </c>
      <c r="O165" s="11"/>
      <c r="P165" s="2">
        <f>--171419.76</f>
        <v>171419.76</v>
      </c>
      <c r="Q165" s="2"/>
      <c r="R165" s="22">
        <f t="shared" si="115"/>
        <v>0.13074218664851478</v>
      </c>
      <c r="S165" s="2"/>
      <c r="T165" s="2"/>
      <c r="U165" s="2"/>
      <c r="V165" s="22">
        <f t="shared" si="116"/>
        <v>0</v>
      </c>
      <c r="W165" s="2"/>
      <c r="X165" s="2">
        <f t="shared" si="117"/>
        <v>171419.76</v>
      </c>
      <c r="Y165" s="2"/>
      <c r="Z165" s="22">
        <f t="shared" si="118"/>
        <v>0</v>
      </c>
    </row>
    <row r="166" spans="1:26" x14ac:dyDescent="0.25">
      <c r="A166" s="9"/>
      <c r="B166" s="10"/>
      <c r="C166" s="10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0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10"/>
      <c r="B167" s="25" t="s">
        <v>3</v>
      </c>
      <c r="C167" s="25"/>
      <c r="D167" s="19">
        <f>+D77-D79+D162</f>
        <v>-5302.5100000000075</v>
      </c>
      <c r="E167" s="13"/>
      <c r="F167" s="21">
        <f>IF(D$12=0,0,D167/D$12)</f>
        <v>-4.4071817686226103E-2</v>
      </c>
      <c r="G167" s="13"/>
      <c r="H167" s="19">
        <f>+H77-H79+H162</f>
        <v>88022.243072076933</v>
      </c>
      <c r="I167" s="13"/>
      <c r="J167" s="21">
        <f>IF(H$12=0,0,H167/H$12)</f>
        <v>0.2197079198969554</v>
      </c>
      <c r="K167" s="15"/>
      <c r="L167" s="19">
        <f>+D167-H167</f>
        <v>-93324.753072076943</v>
      </c>
      <c r="M167" s="15"/>
      <c r="N167" s="21">
        <f>IF(H167=0,0,L167/H167)</f>
        <v>-1.0602405689168595</v>
      </c>
      <c r="O167" s="26"/>
      <c r="P167" s="19">
        <f>+P77-P79+P162</f>
        <v>239734.55999999988</v>
      </c>
      <c r="Q167" s="13"/>
      <c r="R167" s="21">
        <f>IF(P$12=0,0,P167/P$12)</f>
        <v>0.18284601839145936</v>
      </c>
      <c r="S167" s="13"/>
      <c r="T167" s="19">
        <f>+T77-T79+T162</f>
        <v>616224.61736642313</v>
      </c>
      <c r="U167" s="13"/>
      <c r="V167" s="21">
        <f>IF(T$12=0,0,T167/T$12)</f>
        <v>0.23961370050589179</v>
      </c>
      <c r="W167" s="15"/>
      <c r="X167" s="19">
        <f>+P167-T167</f>
        <v>-376490.05736642325</v>
      </c>
      <c r="Y167" s="15"/>
      <c r="Z167" s="21">
        <f>IF(T167=0,0,X167/T167)</f>
        <v>-0.61096237760743743</v>
      </c>
    </row>
    <row r="168" spans="1:26" x14ac:dyDescent="0.25">
      <c r="A168" s="9"/>
      <c r="B168" s="10"/>
      <c r="C168" s="9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x14ac:dyDescent="0.25">
      <c r="A169" s="52"/>
      <c r="B169" s="10" t="s">
        <v>14</v>
      </c>
      <c r="C169" s="10"/>
      <c r="D169" s="4">
        <v>43486.22</v>
      </c>
      <c r="E169" s="4"/>
      <c r="F169" s="12">
        <f>IF(D$12=0,0,D169/D$12)</f>
        <v>0.36143576527024307</v>
      </c>
      <c r="G169" s="4"/>
      <c r="H169" s="4">
        <v>65507.000000000007</v>
      </c>
      <c r="I169" s="4"/>
      <c r="J169" s="12">
        <f>IF(H$12=0,0,H169/H$12)</f>
        <v>0.16350874740722807</v>
      </c>
      <c r="K169" s="4"/>
      <c r="L169" s="4">
        <f>+D169-H169</f>
        <v>-22020.780000000006</v>
      </c>
      <c r="M169" s="4"/>
      <c r="N169" s="12">
        <f>IF(H169=0,0,L169/H169)</f>
        <v>-0.33615918909429532</v>
      </c>
      <c r="O169" s="10"/>
      <c r="P169" s="4">
        <v>259650.27000000002</v>
      </c>
      <c r="Q169" s="4"/>
      <c r="R169" s="12">
        <f>IF(P$12=0,0,P169/P$12)</f>
        <v>0.19803576940999834</v>
      </c>
      <c r="S169" s="4"/>
      <c r="T169" s="4">
        <v>442287</v>
      </c>
      <c r="U169" s="4"/>
      <c r="V169" s="12">
        <f>IF(T$12=0,0,T169/T$12)</f>
        <v>0.17197953760524967</v>
      </c>
      <c r="W169" s="4"/>
      <c r="X169" s="4">
        <f>+P169-T169</f>
        <v>-182636.72999999998</v>
      </c>
      <c r="Y169" s="4"/>
      <c r="Z169" s="12">
        <f>IF(T169=0,0,X169/T169)</f>
        <v>-0.41293714262458536</v>
      </c>
    </row>
    <row r="170" spans="1:26" x14ac:dyDescent="0.25">
      <c r="A170" s="9"/>
      <c r="B170" s="10"/>
      <c r="C170" s="10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0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ht="15.75" thickBot="1" x14ac:dyDescent="0.3">
      <c r="A171" s="10"/>
      <c r="B171" s="25" t="s">
        <v>4</v>
      </c>
      <c r="C171" s="25"/>
      <c r="D171" s="34">
        <f>+D167-D169</f>
        <v>-48788.73000000001</v>
      </c>
      <c r="E171" s="13"/>
      <c r="F171" s="30">
        <f>IF(D$12=0,0,D171/D$12)</f>
        <v>-0.40550758295646921</v>
      </c>
      <c r="G171" s="13"/>
      <c r="H171" s="34">
        <f>+H167-H169</f>
        <v>22515.243072076926</v>
      </c>
      <c r="I171" s="13"/>
      <c r="J171" s="30">
        <f>IF(H$12=0,0,H171/H$12)</f>
        <v>5.619917248972732E-2</v>
      </c>
      <c r="K171" s="15"/>
      <c r="L171" s="34">
        <f>D171-H171</f>
        <v>-71303.973072076944</v>
      </c>
      <c r="M171" s="15"/>
      <c r="N171" s="30">
        <f>IF(H171=0,0,L171/H171)</f>
        <v>-3.1669199770046936</v>
      </c>
      <c r="O171" s="26"/>
      <c r="P171" s="34">
        <f>+P167-P169</f>
        <v>-19915.710000000137</v>
      </c>
      <c r="Q171" s="13"/>
      <c r="R171" s="30">
        <f>IF(P$12=0,0,P171/P$12)</f>
        <v>-1.5189751018538996E-2</v>
      </c>
      <c r="S171" s="13"/>
      <c r="T171" s="34">
        <f>+T167-T169</f>
        <v>173937.61736642313</v>
      </c>
      <c r="U171" s="13"/>
      <c r="V171" s="30">
        <f>IF(T$12=0,0,T171/T$12)</f>
        <v>6.76341629006421E-2</v>
      </c>
      <c r="W171" s="15"/>
      <c r="X171" s="34">
        <f>P171-T171</f>
        <v>-193853.32736642327</v>
      </c>
      <c r="Y171" s="15"/>
      <c r="Z171" s="30">
        <f>IF(T171=0,0,X171/T171)</f>
        <v>-1.1144991537859519</v>
      </c>
    </row>
    <row r="172" spans="1:26" ht="15.75" thickTop="1" x14ac:dyDescent="0.25">
      <c r="A172" s="9"/>
      <c r="B172" s="9"/>
      <c r="C172" s="9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x14ac:dyDescent="0.25">
      <c r="A173" s="9"/>
      <c r="B173" s="9"/>
      <c r="C173" s="9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s="23" customFormat="1" ht="15.75" thickBot="1" x14ac:dyDescent="0.3">
      <c r="A174" s="10"/>
      <c r="B174" s="25" t="s">
        <v>5</v>
      </c>
      <c r="C174" s="25"/>
      <c r="D174" s="35">
        <f>SUM(D171:D173)</f>
        <v>-48788.73000000001</v>
      </c>
      <c r="E174" s="13"/>
      <c r="F174" s="31">
        <f>IF(D$12=0,0,D174/D$12)</f>
        <v>-0.40550758295646921</v>
      </c>
      <c r="G174" s="13"/>
      <c r="H174" s="35">
        <f>SUM(H171:H173)</f>
        <v>22515.243072076926</v>
      </c>
      <c r="I174" s="13"/>
      <c r="J174" s="31">
        <f>IF(H$12=0,0,H174/H$12)</f>
        <v>5.619917248972732E-2</v>
      </c>
      <c r="K174" s="15"/>
      <c r="L174" s="35">
        <f>+D174-H174</f>
        <v>-71303.973072076944</v>
      </c>
      <c r="M174" s="15"/>
      <c r="N174" s="31">
        <f>IF(H174=0,0,L174/H174)</f>
        <v>-3.1669199770046936</v>
      </c>
      <c r="O174" s="26"/>
      <c r="P174" s="35">
        <f>SUM(P171:P173)</f>
        <v>-19915.710000000137</v>
      </c>
      <c r="Q174" s="13"/>
      <c r="R174" s="31">
        <f>IF(P$12=0,0,P174/P$12)</f>
        <v>-1.5189751018538996E-2</v>
      </c>
      <c r="S174" s="13"/>
      <c r="T174" s="35">
        <f>SUM(T171:T173)</f>
        <v>173937.61736642313</v>
      </c>
      <c r="U174" s="13"/>
      <c r="V174" s="31">
        <f>IF(T$12=0,0,T174/T$12)</f>
        <v>6.76341629006421E-2</v>
      </c>
      <c r="W174" s="15"/>
      <c r="X174" s="35">
        <f>+P174-T174</f>
        <v>-193853.32736642327</v>
      </c>
      <c r="Y174" s="15"/>
      <c r="Z174" s="31">
        <f>IF(T174=0,0,X174/T174)</f>
        <v>-1.1144991537859519</v>
      </c>
    </row>
    <row r="175" spans="1:26" ht="15.75" thickTop="1" x14ac:dyDescent="0.25">
      <c r="A175" s="9"/>
      <c r="C175" s="9"/>
      <c r="D175" s="18"/>
      <c r="E175" s="18"/>
      <c r="G175" s="18"/>
      <c r="H175" s="18"/>
      <c r="I175" s="18"/>
      <c r="J175" s="42"/>
      <c r="K175" s="18"/>
      <c r="L175" s="18"/>
      <c r="M175" s="18"/>
      <c r="P175" s="18"/>
      <c r="Q175" s="18"/>
      <c r="R175" s="42"/>
      <c r="S175" s="18"/>
      <c r="T175" s="18"/>
      <c r="U175" s="18"/>
      <c r="V175" s="42"/>
      <c r="W175" s="18"/>
      <c r="X175" s="18"/>
    </row>
    <row r="176" spans="1:26" x14ac:dyDescent="0.25">
      <c r="A176" s="9"/>
      <c r="B176" s="53">
        <v>44267.671426932873</v>
      </c>
      <c r="D176" s="18"/>
      <c r="E176" s="18"/>
      <c r="G176" s="18"/>
      <c r="H176" s="18"/>
      <c r="I176" s="18"/>
      <c r="J176" s="42"/>
      <c r="K176" s="18"/>
      <c r="L176" s="18"/>
      <c r="M176" s="18"/>
      <c r="P176" s="18"/>
      <c r="Q176" s="18"/>
      <c r="R176" s="42"/>
      <c r="S176" s="18"/>
      <c r="T176" s="18"/>
      <c r="U176" s="18"/>
      <c r="V176" s="42"/>
      <c r="W176" s="18"/>
      <c r="X176" s="18"/>
    </row>
    <row r="177" spans="1:24" x14ac:dyDescent="0.25">
      <c r="A177" s="9"/>
      <c r="B177" s="62" t="s">
        <v>314</v>
      </c>
      <c r="D177" s="18"/>
      <c r="E177" s="18"/>
      <c r="G177" s="18"/>
      <c r="H177" s="18"/>
      <c r="I177" s="18"/>
      <c r="J177" s="42"/>
      <c r="K177" s="18"/>
      <c r="L177" s="18"/>
      <c r="M177" s="18"/>
      <c r="P177" s="18"/>
      <c r="Q177" s="18"/>
      <c r="R177" s="42"/>
      <c r="S177" s="18"/>
      <c r="T177" s="18"/>
      <c r="U177" s="18"/>
      <c r="V177" s="42"/>
      <c r="W177" s="18"/>
      <c r="X177" s="18"/>
    </row>
    <row r="178" spans="1:24" x14ac:dyDescent="0.25">
      <c r="A178" s="9"/>
      <c r="B178" s="57"/>
      <c r="D178" s="18"/>
      <c r="E178" s="18"/>
      <c r="G178" s="18"/>
      <c r="H178" s="18"/>
      <c r="I178" s="18"/>
      <c r="J178" s="42"/>
      <c r="K178" s="18"/>
      <c r="L178" s="18"/>
      <c r="M178" s="18"/>
      <c r="P178" s="18"/>
      <c r="Q178" s="18"/>
      <c r="R178" s="42"/>
      <c r="S178" s="18"/>
      <c r="T178" s="18"/>
      <c r="U178" s="18"/>
      <c r="V178" s="42"/>
      <c r="W178" s="18"/>
      <c r="X178" s="18"/>
    </row>
    <row r="179" spans="1:24" x14ac:dyDescent="0.25">
      <c r="D179" s="18"/>
      <c r="E179" s="18"/>
      <c r="G179" s="18"/>
      <c r="H179" s="18"/>
      <c r="I179" s="18"/>
      <c r="J179" s="42"/>
      <c r="K179" s="18"/>
      <c r="L179" s="18"/>
      <c r="M179" s="18"/>
      <c r="P179" s="18"/>
      <c r="Q179" s="18"/>
      <c r="R179" s="42"/>
      <c r="S179" s="18"/>
      <c r="T179" s="18"/>
      <c r="U179" s="18"/>
      <c r="V179" s="42"/>
      <c r="W179" s="18"/>
      <c r="X179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99746.989999999991</v>
      </c>
      <c r="E12" s="4"/>
      <c r="F12" s="12"/>
      <c r="G12" s="4"/>
      <c r="H12" s="4">
        <f>SUM(OSRRefH13x_0)</f>
        <v>359285</v>
      </c>
      <c r="I12" s="4"/>
      <c r="J12" s="12"/>
      <c r="K12" s="4"/>
      <c r="L12" s="4">
        <f t="shared" ref="L12:L50" si="0">+D12-H12</f>
        <v>-259538.01</v>
      </c>
      <c r="M12" s="4"/>
      <c r="N12" s="12">
        <f t="shared" ref="N12:N50" si="1">IF(H12=0,0,L12/H12)</f>
        <v>-0.72237363096149299</v>
      </c>
      <c r="O12" s="10"/>
      <c r="P12" s="4">
        <f>SUM(OSRRefP13x_0)</f>
        <v>1126889.72</v>
      </c>
      <c r="Q12" s="4"/>
      <c r="R12" s="12"/>
      <c r="S12" s="4"/>
      <c r="T12" s="4">
        <f>SUM(OSRRefT13x_0)</f>
        <v>2188979</v>
      </c>
      <c r="U12" s="4"/>
      <c r="V12" s="12"/>
      <c r="W12" s="4"/>
      <c r="X12" s="4">
        <f t="shared" ref="X12:X50" si="2">+P12-T12</f>
        <v>-1062089.28</v>
      </c>
      <c r="Y12" s="4"/>
      <c r="Z12" s="12">
        <f t="shared" ref="Z12:Z50" si="3">IF(T12=0,0,X12/T12)</f>
        <v>-0.48519847837736224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-6379.2</f>
        <v>-6379.2</v>
      </c>
      <c r="E13" s="2"/>
      <c r="F13" s="22"/>
      <c r="G13" s="2"/>
      <c r="H13" s="2">
        <v>359285</v>
      </c>
      <c r="I13" s="2"/>
      <c r="J13" s="22"/>
      <c r="K13" s="2"/>
      <c r="L13" s="2">
        <f t="shared" si="0"/>
        <v>-365664.2</v>
      </c>
      <c r="M13" s="2"/>
      <c r="N13" s="22">
        <f t="shared" si="1"/>
        <v>-1.017755263926966</v>
      </c>
      <c r="O13" s="11"/>
      <c r="P13" s="2">
        <f>-94154.36</f>
        <v>-94154.36</v>
      </c>
      <c r="Q13" s="2"/>
      <c r="R13" s="22"/>
      <c r="S13" s="2"/>
      <c r="T13" s="2">
        <v>2188979</v>
      </c>
      <c r="U13" s="2"/>
      <c r="V13" s="22"/>
      <c r="W13" s="2"/>
      <c r="X13" s="2">
        <f t="shared" si="2"/>
        <v>-2283133.36</v>
      </c>
      <c r="Y13" s="2"/>
      <c r="Z13" s="22">
        <f t="shared" si="3"/>
        <v>-1.0430129114989224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--5765.33</f>
        <v>5765.33</v>
      </c>
      <c r="E15" s="2"/>
      <c r="F15" s="22"/>
      <c r="G15" s="2"/>
      <c r="H15" s="2"/>
      <c r="I15" s="2"/>
      <c r="J15" s="22"/>
      <c r="K15" s="2"/>
      <c r="L15" s="2">
        <f t="shared" si="0"/>
        <v>5765.33</v>
      </c>
      <c r="M15" s="2"/>
      <c r="N15" s="22">
        <f t="shared" si="1"/>
        <v>0</v>
      </c>
      <c r="O15" s="11"/>
      <c r="P15" s="2">
        <f>--46160.12</f>
        <v>46160.12</v>
      </c>
      <c r="Q15" s="2"/>
      <c r="R15" s="22"/>
      <c r="S15" s="2"/>
      <c r="T15" s="2"/>
      <c r="U15" s="2"/>
      <c r="V15" s="22"/>
      <c r="W15" s="2"/>
      <c r="X15" s="2">
        <f t="shared" si="2"/>
        <v>46160.12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--1924.8</f>
        <v>1924.8</v>
      </c>
      <c r="E16" s="2"/>
      <c r="F16" s="22"/>
      <c r="G16" s="2"/>
      <c r="H16" s="2"/>
      <c r="I16" s="2"/>
      <c r="J16" s="22"/>
      <c r="K16" s="2"/>
      <c r="L16" s="2">
        <f t="shared" si="0"/>
        <v>1924.8</v>
      </c>
      <c r="M16" s="2"/>
      <c r="N16" s="22">
        <f t="shared" si="1"/>
        <v>0</v>
      </c>
      <c r="O16" s="11"/>
      <c r="P16" s="2">
        <f>--28368.33</f>
        <v>28368.33</v>
      </c>
      <c r="Q16" s="2"/>
      <c r="R16" s="22"/>
      <c r="S16" s="2"/>
      <c r="T16" s="2"/>
      <c r="U16" s="2"/>
      <c r="V16" s="22"/>
      <c r="W16" s="2"/>
      <c r="X16" s="2">
        <f t="shared" si="2"/>
        <v>28368.33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--593.6</f>
        <v>593.6</v>
      </c>
      <c r="E17" s="2"/>
      <c r="F17" s="22"/>
      <c r="G17" s="2"/>
      <c r="H17" s="2"/>
      <c r="I17" s="2"/>
      <c r="J17" s="22"/>
      <c r="K17" s="2"/>
      <c r="L17" s="2">
        <f t="shared" si="0"/>
        <v>593.6</v>
      </c>
      <c r="M17" s="2"/>
      <c r="N17" s="22">
        <f t="shared" si="1"/>
        <v>0</v>
      </c>
      <c r="O17" s="11"/>
      <c r="P17" s="2">
        <f>--2806.29</f>
        <v>2806.29</v>
      </c>
      <c r="Q17" s="2"/>
      <c r="R17" s="22"/>
      <c r="S17" s="2"/>
      <c r="T17" s="2"/>
      <c r="U17" s="2"/>
      <c r="V17" s="22"/>
      <c r="W17" s="2"/>
      <c r="X17" s="2">
        <f t="shared" si="2"/>
        <v>2806.29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--55485.96</f>
        <v>55485.96</v>
      </c>
      <c r="E19" s="2"/>
      <c r="F19" s="22"/>
      <c r="G19" s="2"/>
      <c r="H19" s="2"/>
      <c r="I19" s="2"/>
      <c r="J19" s="22"/>
      <c r="K19" s="2"/>
      <c r="L19" s="2">
        <f t="shared" si="0"/>
        <v>55485.96</v>
      </c>
      <c r="M19" s="2"/>
      <c r="N19" s="22">
        <f t="shared" si="1"/>
        <v>0</v>
      </c>
      <c r="O19" s="11"/>
      <c r="P19" s="2">
        <f>--517607.94</f>
        <v>517607.94</v>
      </c>
      <c r="Q19" s="2"/>
      <c r="R19" s="22"/>
      <c r="S19" s="2"/>
      <c r="T19" s="2"/>
      <c r="U19" s="2"/>
      <c r="V19" s="22"/>
      <c r="W19" s="2"/>
      <c r="X19" s="2">
        <f t="shared" si="2"/>
        <v>517607.94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--20923.68</f>
        <v>20923.68</v>
      </c>
      <c r="E20" s="2"/>
      <c r="F20" s="22"/>
      <c r="G20" s="2"/>
      <c r="H20" s="2"/>
      <c r="I20" s="2"/>
      <c r="J20" s="22"/>
      <c r="K20" s="2"/>
      <c r="L20" s="2">
        <f t="shared" si="0"/>
        <v>20923.68</v>
      </c>
      <c r="M20" s="2"/>
      <c r="N20" s="22">
        <f t="shared" si="1"/>
        <v>0</v>
      </c>
      <c r="O20" s="11"/>
      <c r="P20" s="2">
        <f>--160219</f>
        <v>160219</v>
      </c>
      <c r="Q20" s="2"/>
      <c r="R20" s="22"/>
      <c r="S20" s="2"/>
      <c r="T20" s="2"/>
      <c r="U20" s="2"/>
      <c r="V20" s="22"/>
      <c r="W20" s="2"/>
      <c r="X20" s="2">
        <f t="shared" si="2"/>
        <v>160219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--3907.64</f>
        <v>3907.64</v>
      </c>
      <c r="E21" s="2"/>
      <c r="F21" s="22"/>
      <c r="G21" s="2"/>
      <c r="H21" s="2"/>
      <c r="I21" s="2"/>
      <c r="J21" s="22"/>
      <c r="K21" s="2"/>
      <c r="L21" s="2">
        <f t="shared" si="0"/>
        <v>3907.64</v>
      </c>
      <c r="M21" s="2"/>
      <c r="N21" s="22">
        <f t="shared" si="1"/>
        <v>0</v>
      </c>
      <c r="O21" s="11"/>
      <c r="P21" s="2">
        <f>--56936.61</f>
        <v>56936.61</v>
      </c>
      <c r="Q21" s="2"/>
      <c r="R21" s="22"/>
      <c r="S21" s="2"/>
      <c r="T21" s="2"/>
      <c r="U21" s="2"/>
      <c r="V21" s="22"/>
      <c r="W21" s="2"/>
      <c r="X21" s="2">
        <f t="shared" si="2"/>
        <v>56936.61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--4840.69</f>
        <v>4840.6899999999996</v>
      </c>
      <c r="E22" s="2"/>
      <c r="F22" s="22"/>
      <c r="G22" s="2"/>
      <c r="H22" s="2"/>
      <c r="I22" s="2"/>
      <c r="J22" s="22"/>
      <c r="K22" s="2"/>
      <c r="L22" s="2">
        <f t="shared" si="0"/>
        <v>4840.6899999999996</v>
      </c>
      <c r="M22" s="2"/>
      <c r="N22" s="22">
        <f t="shared" si="1"/>
        <v>0</v>
      </c>
      <c r="O22" s="11"/>
      <c r="P22" s="2">
        <f>--114555.94</f>
        <v>114555.94</v>
      </c>
      <c r="Q22" s="2"/>
      <c r="R22" s="22"/>
      <c r="S22" s="2"/>
      <c r="T22" s="2"/>
      <c r="U22" s="2"/>
      <c r="V22" s="22"/>
      <c r="W22" s="2"/>
      <c r="X22" s="2">
        <f t="shared" si="2"/>
        <v>114555.94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--1799.2</f>
        <v>1799.2</v>
      </c>
      <c r="E23" s="2"/>
      <c r="F23" s="22"/>
      <c r="G23" s="2"/>
      <c r="H23" s="2"/>
      <c r="I23" s="2"/>
      <c r="J23" s="22"/>
      <c r="K23" s="2"/>
      <c r="L23" s="2">
        <f t="shared" si="0"/>
        <v>1799.2</v>
      </c>
      <c r="M23" s="2"/>
      <c r="N23" s="22">
        <f t="shared" si="1"/>
        <v>0</v>
      </c>
      <c r="O23" s="11"/>
      <c r="P23" s="2">
        <f>--27401.65</f>
        <v>27401.65</v>
      </c>
      <c r="Q23" s="2"/>
      <c r="R23" s="22"/>
      <c r="S23" s="2"/>
      <c r="T23" s="2"/>
      <c r="U23" s="2"/>
      <c r="V23" s="22"/>
      <c r="W23" s="2"/>
      <c r="X23" s="2">
        <f t="shared" si="2"/>
        <v>27401.65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--10039.9</f>
        <v>10039.9</v>
      </c>
      <c r="E24" s="2"/>
      <c r="F24" s="22"/>
      <c r="G24" s="2"/>
      <c r="H24" s="2"/>
      <c r="I24" s="2"/>
      <c r="J24" s="22"/>
      <c r="K24" s="2"/>
      <c r="L24" s="2">
        <f t="shared" si="0"/>
        <v>10039.9</v>
      </c>
      <c r="M24" s="2"/>
      <c r="N24" s="22">
        <f t="shared" si="1"/>
        <v>0</v>
      </c>
      <c r="O24" s="11"/>
      <c r="P24" s="2">
        <f>--135163.2</f>
        <v>135163.20000000001</v>
      </c>
      <c r="Q24" s="2"/>
      <c r="R24" s="22"/>
      <c r="S24" s="2"/>
      <c r="T24" s="2"/>
      <c r="U24" s="2"/>
      <c r="V24" s="22"/>
      <c r="W24" s="2"/>
      <c r="X24" s="2">
        <f t="shared" si="2"/>
        <v>135163.20000000001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--472.19</f>
        <v>472.19</v>
      </c>
      <c r="E26" s="2"/>
      <c r="F26" s="22"/>
      <c r="G26" s="2"/>
      <c r="H26" s="2"/>
      <c r="I26" s="2"/>
      <c r="J26" s="22"/>
      <c r="K26" s="2"/>
      <c r="L26" s="2">
        <f t="shared" si="0"/>
        <v>472.19</v>
      </c>
      <c r="M26" s="2"/>
      <c r="N26" s="22">
        <f t="shared" si="1"/>
        <v>0</v>
      </c>
      <c r="O26" s="11"/>
      <c r="P26" s="2">
        <f>--6217.36</f>
        <v>6217.36</v>
      </c>
      <c r="Q26" s="2"/>
      <c r="R26" s="22"/>
      <c r="S26" s="2"/>
      <c r="T26" s="2"/>
      <c r="U26" s="2"/>
      <c r="V26" s="22"/>
      <c r="W26" s="2"/>
      <c r="X26" s="2">
        <f t="shared" si="2"/>
        <v>6217.36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--9.08</f>
        <v>9.08</v>
      </c>
      <c r="E27" s="2"/>
      <c r="F27" s="22"/>
      <c r="G27" s="2"/>
      <c r="H27" s="2"/>
      <c r="I27" s="2"/>
      <c r="J27" s="22"/>
      <c r="K27" s="2"/>
      <c r="L27" s="2">
        <f t="shared" si="0"/>
        <v>9.08</v>
      </c>
      <c r="M27" s="2"/>
      <c r="N27" s="22">
        <f t="shared" si="1"/>
        <v>0</v>
      </c>
      <c r="O27" s="11"/>
      <c r="P27" s="2">
        <f>--38.58</f>
        <v>38.58</v>
      </c>
      <c r="Q27" s="2"/>
      <c r="R27" s="22"/>
      <c r="S27" s="2"/>
      <c r="T27" s="2"/>
      <c r="U27" s="2"/>
      <c r="V27" s="22"/>
      <c r="W27" s="2"/>
      <c r="X27" s="2">
        <f t="shared" si="2"/>
        <v>38.58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--930.38</f>
        <v>930.38</v>
      </c>
      <c r="E28" s="2"/>
      <c r="F28" s="22"/>
      <c r="G28" s="2"/>
      <c r="H28" s="2"/>
      <c r="I28" s="2"/>
      <c r="J28" s="22"/>
      <c r="K28" s="2"/>
      <c r="L28" s="2">
        <f t="shared" si="0"/>
        <v>930.38</v>
      </c>
      <c r="M28" s="2"/>
      <c r="N28" s="22">
        <f t="shared" si="1"/>
        <v>0</v>
      </c>
      <c r="O28" s="11"/>
      <c r="P28" s="2">
        <f>--7685.99</f>
        <v>7685.99</v>
      </c>
      <c r="Q28" s="2"/>
      <c r="R28" s="22"/>
      <c r="S28" s="2"/>
      <c r="T28" s="2"/>
      <c r="U28" s="2"/>
      <c r="V28" s="22"/>
      <c r="W28" s="2"/>
      <c r="X28" s="2">
        <f t="shared" si="2"/>
        <v>7685.99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--59.25</f>
        <v>59.25</v>
      </c>
      <c r="Q32" s="2"/>
      <c r="R32" s="22"/>
      <c r="S32" s="2"/>
      <c r="T32" s="2"/>
      <c r="U32" s="2"/>
      <c r="V32" s="22"/>
      <c r="W32" s="2"/>
      <c r="X32" s="2">
        <f t="shared" si="2"/>
        <v>59.25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--1947.86</f>
        <v>1947.86</v>
      </c>
      <c r="E33" s="2"/>
      <c r="F33" s="22"/>
      <c r="G33" s="2"/>
      <c r="H33" s="2"/>
      <c r="I33" s="2"/>
      <c r="J33" s="22"/>
      <c r="K33" s="2"/>
      <c r="L33" s="2">
        <f t="shared" si="0"/>
        <v>1947.86</v>
      </c>
      <c r="M33" s="2"/>
      <c r="N33" s="22">
        <f t="shared" si="1"/>
        <v>0</v>
      </c>
      <c r="O33" s="11"/>
      <c r="P33" s="2">
        <f>--114959.5</f>
        <v>114959.5</v>
      </c>
      <c r="Q33" s="2"/>
      <c r="R33" s="22"/>
      <c r="S33" s="2"/>
      <c r="T33" s="2"/>
      <c r="U33" s="2"/>
      <c r="V33" s="22"/>
      <c r="W33" s="2"/>
      <c r="X33" s="2">
        <f t="shared" si="2"/>
        <v>114959.5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--620.86</f>
        <v>620.86</v>
      </c>
      <c r="E34" s="2"/>
      <c r="F34" s="22"/>
      <c r="G34" s="2"/>
      <c r="H34" s="2"/>
      <c r="I34" s="2"/>
      <c r="J34" s="22"/>
      <c r="K34" s="2"/>
      <c r="L34" s="2">
        <f t="shared" si="0"/>
        <v>620.86</v>
      </c>
      <c r="M34" s="2"/>
      <c r="N34" s="22">
        <f t="shared" si="1"/>
        <v>0</v>
      </c>
      <c r="O34" s="11"/>
      <c r="P34" s="2">
        <f>--7234.38</f>
        <v>7234.38</v>
      </c>
      <c r="Q34" s="2"/>
      <c r="R34" s="22"/>
      <c r="S34" s="2"/>
      <c r="T34" s="2"/>
      <c r="U34" s="2"/>
      <c r="V34" s="22"/>
      <c r="W34" s="2"/>
      <c r="X34" s="2">
        <f t="shared" si="2"/>
        <v>7234.38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--4.58</f>
        <v>4.58</v>
      </c>
      <c r="E35" s="2"/>
      <c r="F35" s="22"/>
      <c r="G35" s="2"/>
      <c r="H35" s="2"/>
      <c r="I35" s="2"/>
      <c r="J35" s="22"/>
      <c r="K35" s="2"/>
      <c r="L35" s="2">
        <f t="shared" si="0"/>
        <v>4.58</v>
      </c>
      <c r="M35" s="2"/>
      <c r="N35" s="22">
        <f t="shared" si="1"/>
        <v>0</v>
      </c>
      <c r="O35" s="11"/>
      <c r="P35" s="2">
        <f>--1153.88</f>
        <v>1153.8800000000001</v>
      </c>
      <c r="Q35" s="2"/>
      <c r="R35" s="22"/>
      <c r="S35" s="2"/>
      <c r="T35" s="2"/>
      <c r="U35" s="2"/>
      <c r="V35" s="22"/>
      <c r="W35" s="2"/>
      <c r="X35" s="2">
        <f t="shared" si="2"/>
        <v>1153.8800000000001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--149.92</f>
        <v>149.91999999999999</v>
      </c>
      <c r="E36" s="2"/>
      <c r="F36" s="22"/>
      <c r="G36" s="2"/>
      <c r="H36" s="2"/>
      <c r="I36" s="2"/>
      <c r="J36" s="22"/>
      <c r="K36" s="2"/>
      <c r="L36" s="2">
        <f t="shared" si="0"/>
        <v>149.91999999999999</v>
      </c>
      <c r="M36" s="2"/>
      <c r="N36" s="22">
        <f t="shared" si="1"/>
        <v>0</v>
      </c>
      <c r="O36" s="11"/>
      <c r="P36" s="2">
        <f>--2119.66</f>
        <v>2119.66</v>
      </c>
      <c r="Q36" s="2"/>
      <c r="R36" s="22"/>
      <c r="S36" s="2"/>
      <c r="T36" s="2"/>
      <c r="U36" s="2"/>
      <c r="V36" s="22"/>
      <c r="W36" s="2"/>
      <c r="X36" s="2">
        <f t="shared" si="2"/>
        <v>2119.66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--39.95</f>
        <v>39.950000000000003</v>
      </c>
      <c r="E37" s="2"/>
      <c r="F37" s="22"/>
      <c r="G37" s="2"/>
      <c r="H37" s="2"/>
      <c r="I37" s="2"/>
      <c r="J37" s="22"/>
      <c r="K37" s="2"/>
      <c r="L37" s="2">
        <f t="shared" si="0"/>
        <v>39.950000000000003</v>
      </c>
      <c r="M37" s="2"/>
      <c r="N37" s="22">
        <f t="shared" si="1"/>
        <v>0</v>
      </c>
      <c r="O37" s="11"/>
      <c r="P37" s="2">
        <f>--649.35</f>
        <v>649.35</v>
      </c>
      <c r="Q37" s="2"/>
      <c r="R37" s="22"/>
      <c r="S37" s="2"/>
      <c r="T37" s="2"/>
      <c r="U37" s="2"/>
      <c r="V37" s="22"/>
      <c r="W37" s="2"/>
      <c r="X37" s="2">
        <f t="shared" si="2"/>
        <v>649.35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ref="D38:D39" si="5"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--53709.09</f>
        <v>53709.09</v>
      </c>
      <c r="Q38" s="2"/>
      <c r="R38" s="22"/>
      <c r="S38" s="2"/>
      <c r="T38" s="2"/>
      <c r="U38" s="2"/>
      <c r="V38" s="22"/>
      <c r="W38" s="2"/>
      <c r="X38" s="2">
        <f t="shared" si="2"/>
        <v>53709.09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si="5"/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-6.38</f>
        <v>-6.38</v>
      </c>
      <c r="Q39" s="2"/>
      <c r="R39" s="22"/>
      <c r="S39" s="2"/>
      <c r="T39" s="2"/>
      <c r="U39" s="2"/>
      <c r="V39" s="22"/>
      <c r="W39" s="2"/>
      <c r="X39" s="2">
        <f t="shared" si="2"/>
        <v>-6.38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-19.05</f>
        <v>-19.05</v>
      </c>
      <c r="E40" s="2"/>
      <c r="F40" s="22"/>
      <c r="G40" s="2"/>
      <c r="H40" s="2"/>
      <c r="I40" s="2"/>
      <c r="J40" s="22"/>
      <c r="K40" s="2"/>
      <c r="L40" s="2">
        <f t="shared" si="0"/>
        <v>-19.05</v>
      </c>
      <c r="M40" s="2"/>
      <c r="N40" s="22">
        <f t="shared" si="1"/>
        <v>0</v>
      </c>
      <c r="O40" s="11"/>
      <c r="P40" s="2">
        <f>-578.55</f>
        <v>-578.54999999999995</v>
      </c>
      <c r="Q40" s="2"/>
      <c r="R40" s="22"/>
      <c r="S40" s="2"/>
      <c r="T40" s="2"/>
      <c r="U40" s="2"/>
      <c r="V40" s="22"/>
      <c r="W40" s="2"/>
      <c r="X40" s="2">
        <f t="shared" si="2"/>
        <v>-578.54999999999995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-10.71</f>
        <v>-10.71</v>
      </c>
      <c r="E41" s="2"/>
      <c r="F41" s="22"/>
      <c r="G41" s="2"/>
      <c r="H41" s="2"/>
      <c r="I41" s="2"/>
      <c r="J41" s="22"/>
      <c r="K41" s="2"/>
      <c r="L41" s="2">
        <f t="shared" si="0"/>
        <v>-10.71</v>
      </c>
      <c r="M41" s="2"/>
      <c r="N41" s="22">
        <f t="shared" si="1"/>
        <v>0</v>
      </c>
      <c r="O41" s="11"/>
      <c r="P41" s="2">
        <f>-12517.04</f>
        <v>-12517.04</v>
      </c>
      <c r="Q41" s="2"/>
      <c r="R41" s="22"/>
      <c r="S41" s="2"/>
      <c r="T41" s="2"/>
      <c r="U41" s="2"/>
      <c r="V41" s="22"/>
      <c r="W41" s="2"/>
      <c r="X41" s="2">
        <f t="shared" si="2"/>
        <v>-12517.04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-2608.69</f>
        <v>-2608.69</v>
      </c>
      <c r="E42" s="2"/>
      <c r="F42" s="22"/>
      <c r="G42" s="2"/>
      <c r="H42" s="2"/>
      <c r="I42" s="2"/>
      <c r="J42" s="22"/>
      <c r="K42" s="2"/>
      <c r="L42" s="2">
        <f t="shared" si="0"/>
        <v>-2608.69</v>
      </c>
      <c r="M42" s="2"/>
      <c r="N42" s="22">
        <f t="shared" si="1"/>
        <v>0</v>
      </c>
      <c r="O42" s="11"/>
      <c r="P42" s="2">
        <f>-23793.23</f>
        <v>-23793.23</v>
      </c>
      <c r="Q42" s="2"/>
      <c r="R42" s="22"/>
      <c r="S42" s="2"/>
      <c r="T42" s="2"/>
      <c r="U42" s="2"/>
      <c r="V42" s="22"/>
      <c r="W42" s="2"/>
      <c r="X42" s="2">
        <f t="shared" si="2"/>
        <v>-23793.23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-226.3</f>
        <v>-226.3</v>
      </c>
      <c r="E43" s="2"/>
      <c r="F43" s="22"/>
      <c r="G43" s="2"/>
      <c r="H43" s="2"/>
      <c r="I43" s="2"/>
      <c r="J43" s="22"/>
      <c r="K43" s="2"/>
      <c r="L43" s="2">
        <f t="shared" si="0"/>
        <v>-226.3</v>
      </c>
      <c r="M43" s="2"/>
      <c r="N43" s="22">
        <f t="shared" si="1"/>
        <v>0</v>
      </c>
      <c r="O43" s="11"/>
      <c r="P43" s="2">
        <f>-3650.31</f>
        <v>-3650.31</v>
      </c>
      <c r="Q43" s="2"/>
      <c r="R43" s="22"/>
      <c r="S43" s="2"/>
      <c r="T43" s="2"/>
      <c r="U43" s="2"/>
      <c r="V43" s="22"/>
      <c r="W43" s="2"/>
      <c r="X43" s="2">
        <f t="shared" si="2"/>
        <v>-3650.31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-1442.63</f>
        <v>-1442.63</v>
      </c>
      <c r="Q44" s="2"/>
      <c r="R44" s="22"/>
      <c r="S44" s="2"/>
      <c r="T44" s="2"/>
      <c r="U44" s="2"/>
      <c r="V44" s="22"/>
      <c r="W44" s="2"/>
      <c r="X44" s="2">
        <f t="shared" si="2"/>
        <v>-1442.63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-369.81</f>
        <v>-369.81</v>
      </c>
      <c r="E45" s="2"/>
      <c r="F45" s="22"/>
      <c r="G45" s="2"/>
      <c r="H45" s="2"/>
      <c r="I45" s="2"/>
      <c r="J45" s="22"/>
      <c r="K45" s="2"/>
      <c r="L45" s="2">
        <f t="shared" si="0"/>
        <v>-369.81</v>
      </c>
      <c r="M45" s="2"/>
      <c r="N45" s="22">
        <f t="shared" si="1"/>
        <v>0</v>
      </c>
      <c r="O45" s="11"/>
      <c r="P45" s="2">
        <f>-5369.6</f>
        <v>-5369.6</v>
      </c>
      <c r="Q45" s="2"/>
      <c r="R45" s="22"/>
      <c r="S45" s="2"/>
      <c r="T45" s="2"/>
      <c r="U45" s="2"/>
      <c r="V45" s="22"/>
      <c r="W45" s="2"/>
      <c r="X45" s="2">
        <f t="shared" si="2"/>
        <v>-5369.6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-9.99</f>
        <v>-9.99</v>
      </c>
      <c r="E46" s="2"/>
      <c r="F46" s="22"/>
      <c r="G46" s="2"/>
      <c r="H46" s="2"/>
      <c r="I46" s="2"/>
      <c r="J46" s="22"/>
      <c r="K46" s="2"/>
      <c r="L46" s="2">
        <f t="shared" si="0"/>
        <v>-9.99</v>
      </c>
      <c r="M46" s="2"/>
      <c r="N46" s="22">
        <f t="shared" si="1"/>
        <v>0</v>
      </c>
      <c r="O46" s="11"/>
      <c r="P46" s="2">
        <f>-964.91</f>
        <v>-964.91</v>
      </c>
      <c r="Q46" s="2"/>
      <c r="R46" s="22"/>
      <c r="S46" s="2"/>
      <c r="T46" s="2"/>
      <c r="U46" s="2"/>
      <c r="V46" s="22"/>
      <c r="W46" s="2"/>
      <c r="X46" s="2">
        <f t="shared" si="2"/>
        <v>-964.91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-7.98</f>
        <v>-7.98</v>
      </c>
      <c r="E47" s="2"/>
      <c r="F47" s="22"/>
      <c r="G47" s="2"/>
      <c r="H47" s="2"/>
      <c r="I47" s="2"/>
      <c r="J47" s="22"/>
      <c r="K47" s="2"/>
      <c r="L47" s="2">
        <f t="shared" si="0"/>
        <v>-7.98</v>
      </c>
      <c r="M47" s="2"/>
      <c r="N47" s="22">
        <f t="shared" si="1"/>
        <v>0</v>
      </c>
      <c r="O47" s="11"/>
      <c r="P47" s="2">
        <f>-11346.59</f>
        <v>-11346.59</v>
      </c>
      <c r="Q47" s="2"/>
      <c r="R47" s="22"/>
      <c r="S47" s="2"/>
      <c r="T47" s="2"/>
      <c r="U47" s="2"/>
      <c r="V47" s="22"/>
      <c r="W47" s="2"/>
      <c r="X47" s="2">
        <f t="shared" si="2"/>
        <v>-11346.59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-76.9</f>
        <v>-76.900000000000006</v>
      </c>
      <c r="E48" s="2"/>
      <c r="F48" s="22"/>
      <c r="G48" s="2"/>
      <c r="H48" s="2"/>
      <c r="I48" s="2"/>
      <c r="J48" s="22"/>
      <c r="K48" s="2"/>
      <c r="L48" s="2">
        <f t="shared" si="0"/>
        <v>-76.900000000000006</v>
      </c>
      <c r="M48" s="2"/>
      <c r="N48" s="22">
        <f t="shared" si="1"/>
        <v>0</v>
      </c>
      <c r="O48" s="11"/>
      <c r="P48" s="2">
        <f>-2292.84</f>
        <v>-2292.84</v>
      </c>
      <c r="Q48" s="2"/>
      <c r="R48" s="22"/>
      <c r="S48" s="2"/>
      <c r="T48" s="2"/>
      <c r="U48" s="2"/>
      <c r="V48" s="22"/>
      <c r="W48" s="2"/>
      <c r="X48" s="2">
        <f t="shared" si="2"/>
        <v>-2292.84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 t="shared" ref="D49:D50" si="6">0</f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-351.44</f>
        <v>-351.44</v>
      </c>
      <c r="Q49" s="2"/>
      <c r="R49" s="22"/>
      <c r="S49" s="2"/>
      <c r="T49" s="2"/>
      <c r="U49" s="2"/>
      <c r="V49" s="22"/>
      <c r="W49" s="2"/>
      <c r="X49" s="2">
        <f t="shared" si="2"/>
        <v>-351.44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 t="shared" si="6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52970.999999999993</v>
      </c>
      <c r="E52" s="4"/>
      <c r="F52" s="12">
        <f t="shared" ref="F52:F74" si="7">IF(D$12=0,0,D52/D$12)</f>
        <v>0.5310536187608268</v>
      </c>
      <c r="G52" s="4"/>
      <c r="H52" s="4">
        <f>SUM(OSRRefH16x_0)</f>
        <v>166169</v>
      </c>
      <c r="I52" s="4"/>
      <c r="J52" s="12">
        <f t="shared" ref="J52:J74" si="8">IF(H$12=0,0,H52/H$12)</f>
        <v>0.46249913021695871</v>
      </c>
      <c r="K52" s="4"/>
      <c r="L52" s="4">
        <f t="shared" ref="L52:L74" si="9">+D52-H52</f>
        <v>-113198</v>
      </c>
      <c r="M52" s="4"/>
      <c r="N52" s="12">
        <f t="shared" ref="N52:N74" si="10">IF(H52=0,0,L52/H52)</f>
        <v>-0.68122212927802417</v>
      </c>
      <c r="O52" s="10"/>
      <c r="P52" s="4">
        <f>SUM(OSRRefP16x_0)</f>
        <v>663002.54000000015</v>
      </c>
      <c r="Q52" s="4"/>
      <c r="R52" s="12">
        <f t="shared" ref="R52:R74" si="11">IF(P$12=0,0,P52/P$12)</f>
        <v>0.58834731405660545</v>
      </c>
      <c r="S52" s="4"/>
      <c r="T52" s="4">
        <f>SUM(OSRRefT16x_0)</f>
        <v>1012403.0000000001</v>
      </c>
      <c r="U52" s="4"/>
      <c r="V52" s="12">
        <f t="shared" ref="V52:V74" si="12">IF(T$12=0,0,T52/T$12)</f>
        <v>0.46250009707722189</v>
      </c>
      <c r="W52" s="4"/>
      <c r="X52" s="4">
        <f t="shared" ref="X52:X74" si="13">+P52-T52</f>
        <v>-349400.45999999996</v>
      </c>
      <c r="Y52" s="4"/>
      <c r="Z52" s="12">
        <f t="shared" ref="Z52:Z74" si="14">IF(T52=0,0,X52/T52)</f>
        <v>-0.34511993741622649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7"/>
        <v>0</v>
      </c>
      <c r="G53" s="2"/>
      <c r="H53" s="2">
        <v>166169</v>
      </c>
      <c r="I53" s="2"/>
      <c r="J53" s="22">
        <f t="shared" si="8"/>
        <v>0.46249913021695871</v>
      </c>
      <c r="K53" s="2"/>
      <c r="L53" s="2">
        <f t="shared" si="9"/>
        <v>-166169</v>
      </c>
      <c r="M53" s="2"/>
      <c r="N53" s="22">
        <f t="shared" si="10"/>
        <v>-1</v>
      </c>
      <c r="O53" s="11"/>
      <c r="P53" s="2"/>
      <c r="Q53" s="2"/>
      <c r="R53" s="22">
        <f t="shared" si="11"/>
        <v>0</v>
      </c>
      <c r="S53" s="2"/>
      <c r="T53" s="2">
        <v>1012403.0000000001</v>
      </c>
      <c r="U53" s="2"/>
      <c r="V53" s="22">
        <f t="shared" si="12"/>
        <v>0.46250009707722189</v>
      </c>
      <c r="W53" s="2"/>
      <c r="X53" s="2">
        <f t="shared" si="13"/>
        <v>-1012403.0000000001</v>
      </c>
      <c r="Y53" s="2"/>
      <c r="Z53" s="22">
        <f t="shared" si="14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7"/>
        <v>0</v>
      </c>
      <c r="G54" s="2"/>
      <c r="H54" s="2"/>
      <c r="I54" s="2"/>
      <c r="J54" s="22">
        <f t="shared" si="8"/>
        <v>0</v>
      </c>
      <c r="K54" s="2"/>
      <c r="L54" s="2">
        <f t="shared" si="9"/>
        <v>0</v>
      </c>
      <c r="M54" s="2"/>
      <c r="N54" s="22">
        <f t="shared" si="10"/>
        <v>0</v>
      </c>
      <c r="O54" s="11"/>
      <c r="P54" s="2">
        <v>599.29</v>
      </c>
      <c r="Q54" s="2"/>
      <c r="R54" s="22">
        <f t="shared" si="11"/>
        <v>5.318089156053353E-4</v>
      </c>
      <c r="S54" s="2"/>
      <c r="T54" s="2"/>
      <c r="U54" s="2"/>
      <c r="V54" s="22">
        <f t="shared" si="12"/>
        <v>0</v>
      </c>
      <c r="W54" s="2"/>
      <c r="X54" s="2">
        <f t="shared" si="13"/>
        <v>599.29</v>
      </c>
      <c r="Y54" s="2"/>
      <c r="Z54" s="22">
        <f t="shared" si="14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7"/>
        <v>0</v>
      </c>
      <c r="G55" s="2"/>
      <c r="H55" s="2"/>
      <c r="I55" s="2"/>
      <c r="J55" s="22">
        <f t="shared" si="8"/>
        <v>0</v>
      </c>
      <c r="K55" s="2"/>
      <c r="L55" s="2">
        <f t="shared" si="9"/>
        <v>0</v>
      </c>
      <c r="M55" s="2"/>
      <c r="N55" s="22">
        <f t="shared" si="10"/>
        <v>0</v>
      </c>
      <c r="O55" s="11"/>
      <c r="P55" s="2">
        <v>10</v>
      </c>
      <c r="Q55" s="2"/>
      <c r="R55" s="22">
        <f t="shared" si="11"/>
        <v>8.8739828064098409E-6</v>
      </c>
      <c r="S55" s="2"/>
      <c r="T55" s="2"/>
      <c r="U55" s="2"/>
      <c r="V55" s="22">
        <f t="shared" si="12"/>
        <v>0</v>
      </c>
      <c r="W55" s="2"/>
      <c r="X55" s="2">
        <f t="shared" si="13"/>
        <v>10</v>
      </c>
      <c r="Y55" s="2"/>
      <c r="Z55" s="22">
        <f t="shared" si="14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7"/>
        <v>0</v>
      </c>
      <c r="G56" s="2"/>
      <c r="H56" s="2"/>
      <c r="I56" s="2"/>
      <c r="J56" s="22">
        <f t="shared" si="8"/>
        <v>0</v>
      </c>
      <c r="K56" s="2"/>
      <c r="L56" s="2">
        <f t="shared" si="9"/>
        <v>0</v>
      </c>
      <c r="M56" s="2"/>
      <c r="N56" s="22">
        <f t="shared" si="10"/>
        <v>0</v>
      </c>
      <c r="O56" s="11"/>
      <c r="P56" s="2">
        <v>18175.88</v>
      </c>
      <c r="Q56" s="2"/>
      <c r="R56" s="22">
        <f t="shared" si="11"/>
        <v>1.6129244661136851E-2</v>
      </c>
      <c r="S56" s="2"/>
      <c r="T56" s="2"/>
      <c r="U56" s="2"/>
      <c r="V56" s="22">
        <f t="shared" si="12"/>
        <v>0</v>
      </c>
      <c r="W56" s="2"/>
      <c r="X56" s="2">
        <f t="shared" si="13"/>
        <v>18175.88</v>
      </c>
      <c r="Y56" s="2"/>
      <c r="Z56" s="22">
        <f t="shared" si="14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>
        <v>833.13</v>
      </c>
      <c r="E57" s="2"/>
      <c r="F57" s="22">
        <f t="shared" si="7"/>
        <v>8.3524324894415376E-3</v>
      </c>
      <c r="G57" s="2"/>
      <c r="H57" s="2"/>
      <c r="I57" s="2"/>
      <c r="J57" s="22">
        <f t="shared" si="8"/>
        <v>0</v>
      </c>
      <c r="K57" s="2"/>
      <c r="L57" s="2">
        <f t="shared" si="9"/>
        <v>833.13</v>
      </c>
      <c r="M57" s="2"/>
      <c r="N57" s="22">
        <f t="shared" si="10"/>
        <v>0</v>
      </c>
      <c r="O57" s="11"/>
      <c r="P57" s="2">
        <v>749.73</v>
      </c>
      <c r="Q57" s="2"/>
      <c r="R57" s="22">
        <f t="shared" si="11"/>
        <v>6.6530911294496501E-4</v>
      </c>
      <c r="S57" s="2"/>
      <c r="T57" s="2"/>
      <c r="U57" s="2"/>
      <c r="V57" s="22">
        <f t="shared" si="12"/>
        <v>0</v>
      </c>
      <c r="W57" s="2"/>
      <c r="X57" s="2">
        <f t="shared" si="13"/>
        <v>749.73</v>
      </c>
      <c r="Y57" s="2"/>
      <c r="Z57" s="22">
        <f t="shared" si="14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271.45999999999998</v>
      </c>
      <c r="E58" s="2"/>
      <c r="F58" s="22">
        <f t="shared" si="7"/>
        <v>2.7214856307944731E-3</v>
      </c>
      <c r="G58" s="2"/>
      <c r="H58" s="2"/>
      <c r="I58" s="2"/>
      <c r="J58" s="22">
        <f t="shared" si="8"/>
        <v>0</v>
      </c>
      <c r="K58" s="2"/>
      <c r="L58" s="2">
        <f t="shared" si="9"/>
        <v>271.45999999999998</v>
      </c>
      <c r="M58" s="2"/>
      <c r="N58" s="22">
        <f t="shared" si="10"/>
        <v>0</v>
      </c>
      <c r="O58" s="11"/>
      <c r="P58" s="2">
        <v>5344.15</v>
      </c>
      <c r="Q58" s="2"/>
      <c r="R58" s="22">
        <f t="shared" si="11"/>
        <v>4.7423895214875151E-3</v>
      </c>
      <c r="S58" s="2"/>
      <c r="T58" s="2"/>
      <c r="U58" s="2"/>
      <c r="V58" s="22">
        <f t="shared" si="12"/>
        <v>0</v>
      </c>
      <c r="W58" s="2"/>
      <c r="X58" s="2">
        <f t="shared" si="13"/>
        <v>5344.15</v>
      </c>
      <c r="Y58" s="2"/>
      <c r="Z58" s="22">
        <f t="shared" si="14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26599.9</v>
      </c>
      <c r="E59" s="2"/>
      <c r="F59" s="22">
        <f t="shared" si="7"/>
        <v>0.26667371115659733</v>
      </c>
      <c r="G59" s="2"/>
      <c r="H59" s="2"/>
      <c r="I59" s="2"/>
      <c r="J59" s="22">
        <f t="shared" si="8"/>
        <v>0</v>
      </c>
      <c r="K59" s="2"/>
      <c r="L59" s="2">
        <f t="shared" si="9"/>
        <v>26599.9</v>
      </c>
      <c r="M59" s="2"/>
      <c r="N59" s="22">
        <f t="shared" si="10"/>
        <v>0</v>
      </c>
      <c r="O59" s="11"/>
      <c r="P59" s="2">
        <v>193971.09</v>
      </c>
      <c r="Q59" s="2"/>
      <c r="R59" s="22">
        <f t="shared" si="11"/>
        <v>0.17212961176005759</v>
      </c>
      <c r="S59" s="2"/>
      <c r="T59" s="2"/>
      <c r="U59" s="2"/>
      <c r="V59" s="22">
        <f t="shared" si="12"/>
        <v>0</v>
      </c>
      <c r="W59" s="2"/>
      <c r="X59" s="2">
        <f t="shared" si="13"/>
        <v>193971.09</v>
      </c>
      <c r="Y59" s="2"/>
      <c r="Z59" s="22">
        <f t="shared" si="14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26592.809999999998</v>
      </c>
      <c r="E60" s="2"/>
      <c r="F60" s="22">
        <f t="shared" si="7"/>
        <v>0.2666026313174964</v>
      </c>
      <c r="G60" s="2"/>
      <c r="H60" s="2"/>
      <c r="I60" s="2"/>
      <c r="J60" s="22">
        <f t="shared" si="8"/>
        <v>0</v>
      </c>
      <c r="K60" s="2"/>
      <c r="L60" s="2">
        <f t="shared" si="9"/>
        <v>26592.809999999998</v>
      </c>
      <c r="M60" s="2"/>
      <c r="N60" s="22">
        <f t="shared" si="10"/>
        <v>0</v>
      </c>
      <c r="O60" s="11"/>
      <c r="P60" s="2">
        <v>67356.210000000006</v>
      </c>
      <c r="Q60" s="2"/>
      <c r="R60" s="22">
        <f t="shared" si="11"/>
        <v>5.9771784944493069E-2</v>
      </c>
      <c r="S60" s="2"/>
      <c r="T60" s="2"/>
      <c r="U60" s="2"/>
      <c r="V60" s="22">
        <f t="shared" si="12"/>
        <v>0</v>
      </c>
      <c r="W60" s="2"/>
      <c r="X60" s="2">
        <f t="shared" si="13"/>
        <v>67356.210000000006</v>
      </c>
      <c r="Y60" s="2"/>
      <c r="Z60" s="22">
        <f t="shared" si="14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1196.2</v>
      </c>
      <c r="E61" s="2"/>
      <c r="F61" s="22">
        <f t="shared" si="7"/>
        <v>1.1992341824049029E-2</v>
      </c>
      <c r="G61" s="2"/>
      <c r="H61" s="2"/>
      <c r="I61" s="2"/>
      <c r="J61" s="22">
        <f t="shared" si="8"/>
        <v>0</v>
      </c>
      <c r="K61" s="2"/>
      <c r="L61" s="2">
        <f t="shared" si="9"/>
        <v>1196.2</v>
      </c>
      <c r="M61" s="2"/>
      <c r="N61" s="22">
        <f t="shared" si="10"/>
        <v>0</v>
      </c>
      <c r="O61" s="11"/>
      <c r="P61" s="2">
        <v>11072.14</v>
      </c>
      <c r="Q61" s="2"/>
      <c r="R61" s="22">
        <f t="shared" si="11"/>
        <v>9.8253979990162651E-3</v>
      </c>
      <c r="S61" s="2"/>
      <c r="T61" s="2"/>
      <c r="U61" s="2"/>
      <c r="V61" s="22">
        <f t="shared" si="12"/>
        <v>0</v>
      </c>
      <c r="W61" s="2"/>
      <c r="X61" s="2">
        <f t="shared" si="13"/>
        <v>11072.14</v>
      </c>
      <c r="Y61" s="2"/>
      <c r="Z61" s="22">
        <f t="shared" si="14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/>
      <c r="E62" s="2"/>
      <c r="F62" s="22">
        <f t="shared" si="7"/>
        <v>0</v>
      </c>
      <c r="G62" s="2"/>
      <c r="H62" s="2"/>
      <c r="I62" s="2"/>
      <c r="J62" s="22">
        <f t="shared" si="8"/>
        <v>0</v>
      </c>
      <c r="K62" s="2"/>
      <c r="L62" s="2">
        <f t="shared" si="9"/>
        <v>0</v>
      </c>
      <c r="M62" s="2"/>
      <c r="N62" s="22">
        <f t="shared" si="10"/>
        <v>0</v>
      </c>
      <c r="O62" s="11"/>
      <c r="P62" s="2">
        <v>55364.33</v>
      </c>
      <c r="Q62" s="2"/>
      <c r="R62" s="22">
        <f t="shared" si="11"/>
        <v>4.9130211250840057E-2</v>
      </c>
      <c r="S62" s="2"/>
      <c r="T62" s="2"/>
      <c r="U62" s="2"/>
      <c r="V62" s="22">
        <f t="shared" si="12"/>
        <v>0</v>
      </c>
      <c r="W62" s="2"/>
      <c r="X62" s="2">
        <f t="shared" si="13"/>
        <v>55364.33</v>
      </c>
      <c r="Y62" s="2"/>
      <c r="Z62" s="22">
        <f t="shared" si="14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22">
        <f t="shared" si="7"/>
        <v>0</v>
      </c>
      <c r="G63" s="2"/>
      <c r="H63" s="2"/>
      <c r="I63" s="2"/>
      <c r="J63" s="22">
        <f t="shared" si="8"/>
        <v>0</v>
      </c>
      <c r="K63" s="2"/>
      <c r="L63" s="2">
        <f t="shared" si="9"/>
        <v>0</v>
      </c>
      <c r="M63" s="2"/>
      <c r="N63" s="22">
        <f t="shared" si="10"/>
        <v>0</v>
      </c>
      <c r="O63" s="11"/>
      <c r="P63" s="2">
        <v>1064.83</v>
      </c>
      <c r="Q63" s="2"/>
      <c r="R63" s="22">
        <f t="shared" si="11"/>
        <v>9.4492831117493905E-4</v>
      </c>
      <c r="S63" s="2"/>
      <c r="T63" s="2"/>
      <c r="U63" s="2"/>
      <c r="V63" s="22">
        <f t="shared" si="12"/>
        <v>0</v>
      </c>
      <c r="W63" s="2"/>
      <c r="X63" s="2">
        <f t="shared" si="13"/>
        <v>1064.83</v>
      </c>
      <c r="Y63" s="2"/>
      <c r="Z63" s="22">
        <f t="shared" si="14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1909.13</v>
      </c>
      <c r="E64" s="2"/>
      <c r="F64" s="22">
        <f t="shared" si="7"/>
        <v>1.913972541928333E-2</v>
      </c>
      <c r="G64" s="2"/>
      <c r="H64" s="2"/>
      <c r="I64" s="2"/>
      <c r="J64" s="22">
        <f t="shared" si="8"/>
        <v>0</v>
      </c>
      <c r="K64" s="2"/>
      <c r="L64" s="2">
        <f t="shared" si="9"/>
        <v>1909.13</v>
      </c>
      <c r="M64" s="2"/>
      <c r="N64" s="22">
        <f t="shared" si="10"/>
        <v>0</v>
      </c>
      <c r="O64" s="11"/>
      <c r="P64" s="2">
        <v>95373.51</v>
      </c>
      <c r="Q64" s="2"/>
      <c r="R64" s="22">
        <f t="shared" si="11"/>
        <v>8.4634288792695703E-2</v>
      </c>
      <c r="S64" s="2"/>
      <c r="T64" s="2"/>
      <c r="U64" s="2"/>
      <c r="V64" s="22">
        <f t="shared" si="12"/>
        <v>0</v>
      </c>
      <c r="W64" s="2"/>
      <c r="X64" s="2">
        <f t="shared" si="13"/>
        <v>95373.51</v>
      </c>
      <c r="Y64" s="2"/>
      <c r="Z64" s="22">
        <f t="shared" si="14"/>
        <v>0</v>
      </c>
    </row>
    <row r="65" spans="1:26" s="24" customFormat="1" hidden="1" outlineLevel="1" x14ac:dyDescent="0.2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-58063.03</v>
      </c>
      <c r="E65" s="2"/>
      <c r="F65" s="22">
        <f t="shared" si="7"/>
        <v>-0.58210307900017844</v>
      </c>
      <c r="G65" s="2"/>
      <c r="H65" s="2"/>
      <c r="I65" s="2"/>
      <c r="J65" s="22">
        <f t="shared" si="8"/>
        <v>0</v>
      </c>
      <c r="K65" s="2"/>
      <c r="L65" s="2">
        <f t="shared" si="9"/>
        <v>-58063.03</v>
      </c>
      <c r="M65" s="2"/>
      <c r="N65" s="22">
        <f t="shared" si="10"/>
        <v>0</v>
      </c>
      <c r="O65" s="11"/>
      <c r="P65" s="2">
        <v>-467186.36</v>
      </c>
      <c r="Q65" s="2"/>
      <c r="R65" s="22">
        <f t="shared" si="11"/>
        <v>-0.41458037260291986</v>
      </c>
      <c r="S65" s="2"/>
      <c r="T65" s="2"/>
      <c r="U65" s="2"/>
      <c r="V65" s="22">
        <f t="shared" si="12"/>
        <v>0</v>
      </c>
      <c r="W65" s="2"/>
      <c r="X65" s="2">
        <f t="shared" si="13"/>
        <v>-467186.36</v>
      </c>
      <c r="Y65" s="2"/>
      <c r="Z65" s="22">
        <f t="shared" si="14"/>
        <v>0</v>
      </c>
    </row>
    <row r="66" spans="1:26" s="24" customFormat="1" hidden="1" outlineLevel="1" x14ac:dyDescent="0.25">
      <c r="A66" s="51"/>
      <c r="B66" s="11" t="str">
        <f>CONCATENATE("          ", "5300", " - ", "COG$ OFFSET")</f>
        <v xml:space="preserve">          5300 - COG$ OFFSET</v>
      </c>
      <c r="C66" s="11"/>
      <c r="D66" s="2">
        <v>52971</v>
      </c>
      <c r="E66" s="2"/>
      <c r="F66" s="22">
        <f t="shared" si="7"/>
        <v>0.5310536187608268</v>
      </c>
      <c r="G66" s="2"/>
      <c r="H66" s="2"/>
      <c r="I66" s="2"/>
      <c r="J66" s="22">
        <f t="shared" si="8"/>
        <v>0</v>
      </c>
      <c r="K66" s="2"/>
      <c r="L66" s="2">
        <f t="shared" si="9"/>
        <v>52971</v>
      </c>
      <c r="M66" s="2"/>
      <c r="N66" s="22">
        <f t="shared" si="10"/>
        <v>0</v>
      </c>
      <c r="O66" s="11"/>
      <c r="P66" s="2">
        <v>662086</v>
      </c>
      <c r="Q66" s="2"/>
      <c r="R66" s="22">
        <f t="shared" si="11"/>
        <v>0.58753397803646656</v>
      </c>
      <c r="S66" s="2"/>
      <c r="T66" s="2"/>
      <c r="U66" s="2"/>
      <c r="V66" s="22">
        <f t="shared" si="12"/>
        <v>0</v>
      </c>
      <c r="W66" s="2"/>
      <c r="X66" s="2">
        <f t="shared" si="13"/>
        <v>662086</v>
      </c>
      <c r="Y66" s="2"/>
      <c r="Z66" s="22">
        <f t="shared" si="14"/>
        <v>0</v>
      </c>
    </row>
    <row r="67" spans="1:26" s="24" customFormat="1" hidden="1" outlineLevel="1" x14ac:dyDescent="0.2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7"/>
        <v>0</v>
      </c>
      <c r="G67" s="2"/>
      <c r="H67" s="2"/>
      <c r="I67" s="2"/>
      <c r="J67" s="22">
        <f t="shared" si="8"/>
        <v>0</v>
      </c>
      <c r="K67" s="2"/>
      <c r="L67" s="2">
        <f t="shared" si="9"/>
        <v>0</v>
      </c>
      <c r="M67" s="2"/>
      <c r="N67" s="22">
        <f t="shared" si="10"/>
        <v>0</v>
      </c>
      <c r="O67" s="11"/>
      <c r="P67" s="2">
        <v>48.14</v>
      </c>
      <c r="Q67" s="2"/>
      <c r="R67" s="22">
        <f t="shared" si="11"/>
        <v>4.2719353230056975E-5</v>
      </c>
      <c r="S67" s="2"/>
      <c r="T67" s="2"/>
      <c r="U67" s="2"/>
      <c r="V67" s="22">
        <f t="shared" si="12"/>
        <v>0</v>
      </c>
      <c r="W67" s="2"/>
      <c r="X67" s="2">
        <f t="shared" si="13"/>
        <v>48.14</v>
      </c>
      <c r="Y67" s="2"/>
      <c r="Z67" s="22">
        <f t="shared" si="14"/>
        <v>0</v>
      </c>
    </row>
    <row r="68" spans="1:26" s="24" customFormat="1" hidden="1" outlineLevel="1" x14ac:dyDescent="0.2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/>
      <c r="E68" s="2"/>
      <c r="F68" s="22">
        <f t="shared" si="7"/>
        <v>0</v>
      </c>
      <c r="G68" s="2"/>
      <c r="H68" s="2"/>
      <c r="I68" s="2"/>
      <c r="J68" s="22">
        <f t="shared" si="8"/>
        <v>0</v>
      </c>
      <c r="K68" s="2"/>
      <c r="L68" s="2">
        <f t="shared" si="9"/>
        <v>0</v>
      </c>
      <c r="M68" s="2"/>
      <c r="N68" s="22">
        <f t="shared" si="10"/>
        <v>0</v>
      </c>
      <c r="O68" s="11"/>
      <c r="P68" s="2">
        <v>177.5</v>
      </c>
      <c r="Q68" s="2"/>
      <c r="R68" s="22">
        <f t="shared" si="11"/>
        <v>1.5751319481377467E-4</v>
      </c>
      <c r="S68" s="2"/>
      <c r="T68" s="2"/>
      <c r="U68" s="2"/>
      <c r="V68" s="22">
        <f t="shared" si="12"/>
        <v>0</v>
      </c>
      <c r="W68" s="2"/>
      <c r="X68" s="2">
        <f t="shared" si="13"/>
        <v>177.5</v>
      </c>
      <c r="Y68" s="2"/>
      <c r="Z68" s="22">
        <f t="shared" si="14"/>
        <v>0</v>
      </c>
    </row>
    <row r="69" spans="1:26" s="24" customFormat="1" hidden="1" outlineLevel="1" x14ac:dyDescent="0.25">
      <c r="A69" s="51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22">
        <f t="shared" si="7"/>
        <v>0</v>
      </c>
      <c r="G69" s="2"/>
      <c r="H69" s="2"/>
      <c r="I69" s="2"/>
      <c r="J69" s="22">
        <f t="shared" si="8"/>
        <v>0</v>
      </c>
      <c r="K69" s="2"/>
      <c r="L69" s="2">
        <f t="shared" si="9"/>
        <v>0</v>
      </c>
      <c r="M69" s="2"/>
      <c r="N69" s="22">
        <f t="shared" si="10"/>
        <v>0</v>
      </c>
      <c r="O69" s="11"/>
      <c r="P69" s="2">
        <v>33.950000000000003</v>
      </c>
      <c r="Q69" s="2"/>
      <c r="R69" s="22">
        <f t="shared" si="11"/>
        <v>3.0127171627761412E-5</v>
      </c>
      <c r="S69" s="2"/>
      <c r="T69" s="2"/>
      <c r="U69" s="2"/>
      <c r="V69" s="22">
        <f t="shared" si="12"/>
        <v>0</v>
      </c>
      <c r="W69" s="2"/>
      <c r="X69" s="2">
        <f t="shared" si="13"/>
        <v>33.950000000000003</v>
      </c>
      <c r="Y69" s="2"/>
      <c r="Z69" s="22">
        <f t="shared" si="14"/>
        <v>0</v>
      </c>
    </row>
    <row r="70" spans="1:26" s="24" customFormat="1" hidden="1" outlineLevel="1" x14ac:dyDescent="0.2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150.6</v>
      </c>
      <c r="E70" s="2"/>
      <c r="F70" s="22">
        <f t="shared" si="7"/>
        <v>1.5098199955707937E-3</v>
      </c>
      <c r="G70" s="2"/>
      <c r="H70" s="2"/>
      <c r="I70" s="2"/>
      <c r="J70" s="22">
        <f t="shared" si="8"/>
        <v>0</v>
      </c>
      <c r="K70" s="2"/>
      <c r="L70" s="2">
        <f t="shared" si="9"/>
        <v>150.6</v>
      </c>
      <c r="M70" s="2"/>
      <c r="N70" s="22">
        <f t="shared" si="10"/>
        <v>0</v>
      </c>
      <c r="O70" s="11"/>
      <c r="P70" s="2">
        <v>5941.23</v>
      </c>
      <c r="Q70" s="2"/>
      <c r="R70" s="22">
        <f t="shared" si="11"/>
        <v>5.2722372868926337E-3</v>
      </c>
      <c r="S70" s="2"/>
      <c r="T70" s="2"/>
      <c r="U70" s="2"/>
      <c r="V70" s="22">
        <f t="shared" si="12"/>
        <v>0</v>
      </c>
      <c r="W70" s="2"/>
      <c r="X70" s="2">
        <f t="shared" si="13"/>
        <v>5941.23</v>
      </c>
      <c r="Y70" s="2"/>
      <c r="Z70" s="22">
        <f t="shared" si="14"/>
        <v>0</v>
      </c>
    </row>
    <row r="71" spans="1:26" s="24" customFormat="1" hidden="1" outlineLevel="1" x14ac:dyDescent="0.2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375.06</v>
      </c>
      <c r="E71" s="2"/>
      <c r="F71" s="22">
        <f t="shared" si="7"/>
        <v>3.760113463072921E-3</v>
      </c>
      <c r="G71" s="2"/>
      <c r="H71" s="2"/>
      <c r="I71" s="2"/>
      <c r="J71" s="22">
        <f t="shared" si="8"/>
        <v>0</v>
      </c>
      <c r="K71" s="2"/>
      <c r="L71" s="2">
        <f t="shared" si="9"/>
        <v>375.06</v>
      </c>
      <c r="M71" s="2"/>
      <c r="N71" s="22">
        <f t="shared" si="10"/>
        <v>0</v>
      </c>
      <c r="O71" s="11"/>
      <c r="P71" s="2">
        <v>2077.9299999999998</v>
      </c>
      <c r="Q71" s="2"/>
      <c r="R71" s="22">
        <f t="shared" si="11"/>
        <v>1.84395150929232E-3</v>
      </c>
      <c r="S71" s="2"/>
      <c r="T71" s="2"/>
      <c r="U71" s="2"/>
      <c r="V71" s="22">
        <f t="shared" si="12"/>
        <v>0</v>
      </c>
      <c r="W71" s="2"/>
      <c r="X71" s="2">
        <f t="shared" si="13"/>
        <v>2077.9299999999998</v>
      </c>
      <c r="Y71" s="2"/>
      <c r="Z71" s="22">
        <f t="shared" si="14"/>
        <v>0</v>
      </c>
    </row>
    <row r="72" spans="1:26" s="24" customFormat="1" hidden="1" outlineLevel="1" x14ac:dyDescent="0.2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/>
      <c r="E72" s="2"/>
      <c r="F72" s="22">
        <f t="shared" si="7"/>
        <v>0</v>
      </c>
      <c r="G72" s="2"/>
      <c r="H72" s="2"/>
      <c r="I72" s="2"/>
      <c r="J72" s="22">
        <f t="shared" si="8"/>
        <v>0</v>
      </c>
      <c r="K72" s="2"/>
      <c r="L72" s="2">
        <f t="shared" si="9"/>
        <v>0</v>
      </c>
      <c r="M72" s="2"/>
      <c r="N72" s="22">
        <f t="shared" si="10"/>
        <v>0</v>
      </c>
      <c r="O72" s="11"/>
      <c r="P72" s="2">
        <v>383.93</v>
      </c>
      <c r="Q72" s="2"/>
      <c r="R72" s="22">
        <f t="shared" si="11"/>
        <v>3.4069882188649306E-4</v>
      </c>
      <c r="S72" s="2"/>
      <c r="T72" s="2"/>
      <c r="U72" s="2"/>
      <c r="V72" s="22">
        <f t="shared" si="12"/>
        <v>0</v>
      </c>
      <c r="W72" s="2"/>
      <c r="X72" s="2">
        <f t="shared" si="13"/>
        <v>383.93</v>
      </c>
      <c r="Y72" s="2"/>
      <c r="Z72" s="22">
        <f t="shared" si="14"/>
        <v>0</v>
      </c>
    </row>
    <row r="73" spans="1:26" s="24" customFormat="1" hidden="1" outlineLevel="1" x14ac:dyDescent="0.25">
      <c r="A73" s="51"/>
      <c r="B73" s="11" t="str">
        <f>CONCATENATE("          ", "5543", " - ", "FREIGHT-IN-CARDS")</f>
        <v xml:space="preserve">          5543 - FREIGHT-IN-CARDS</v>
      </c>
      <c r="C73" s="11"/>
      <c r="D73" s="2"/>
      <c r="E73" s="2"/>
      <c r="F73" s="22">
        <f t="shared" si="7"/>
        <v>0</v>
      </c>
      <c r="G73" s="2"/>
      <c r="H73" s="2"/>
      <c r="I73" s="2"/>
      <c r="J73" s="22">
        <f t="shared" si="8"/>
        <v>0</v>
      </c>
      <c r="K73" s="2"/>
      <c r="L73" s="2">
        <f t="shared" si="9"/>
        <v>0</v>
      </c>
      <c r="M73" s="2"/>
      <c r="N73" s="22">
        <f t="shared" si="10"/>
        <v>0</v>
      </c>
      <c r="O73" s="11"/>
      <c r="P73" s="2">
        <v>9110.5300000000007</v>
      </c>
      <c r="Q73" s="2"/>
      <c r="R73" s="22">
        <f t="shared" si="11"/>
        <v>8.0846686577281061E-3</v>
      </c>
      <c r="S73" s="2"/>
      <c r="T73" s="2"/>
      <c r="U73" s="2"/>
      <c r="V73" s="22">
        <f t="shared" si="12"/>
        <v>0</v>
      </c>
      <c r="W73" s="2"/>
      <c r="X73" s="2">
        <f t="shared" si="13"/>
        <v>9110.5300000000007</v>
      </c>
      <c r="Y73" s="2"/>
      <c r="Z73" s="22">
        <f t="shared" si="14"/>
        <v>0</v>
      </c>
    </row>
    <row r="74" spans="1:26" s="24" customFormat="1" hidden="1" outlineLevel="1" x14ac:dyDescent="0.2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>
        <v>134.74</v>
      </c>
      <c r="E74" s="2"/>
      <c r="F74" s="22">
        <f t="shared" si="7"/>
        <v>1.3508177038725681E-3</v>
      </c>
      <c r="G74" s="2"/>
      <c r="H74" s="2"/>
      <c r="I74" s="2"/>
      <c r="J74" s="22">
        <f t="shared" si="8"/>
        <v>0</v>
      </c>
      <c r="K74" s="2"/>
      <c r="L74" s="2">
        <f t="shared" si="9"/>
        <v>134.74</v>
      </c>
      <c r="M74" s="2"/>
      <c r="N74" s="22">
        <f t="shared" si="10"/>
        <v>0</v>
      </c>
      <c r="O74" s="11"/>
      <c r="P74" s="2">
        <v>1248.53</v>
      </c>
      <c r="Q74" s="2"/>
      <c r="R74" s="22">
        <f t="shared" si="11"/>
        <v>1.107943375328688E-3</v>
      </c>
      <c r="S74" s="2"/>
      <c r="T74" s="2"/>
      <c r="U74" s="2"/>
      <c r="V74" s="22">
        <f t="shared" si="12"/>
        <v>0</v>
      </c>
      <c r="W74" s="2"/>
      <c r="X74" s="2">
        <f t="shared" si="13"/>
        <v>1248.53</v>
      </c>
      <c r="Y74" s="2"/>
      <c r="Z74" s="22">
        <f t="shared" si="14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6</v>
      </c>
      <c r="C76" s="25"/>
      <c r="D76" s="19">
        <f>D12-D52</f>
        <v>46775.99</v>
      </c>
      <c r="E76" s="13"/>
      <c r="F76" s="21">
        <f>IF(D$12=0,0,D76/D$12)</f>
        <v>0.46894638123917326</v>
      </c>
      <c r="G76" s="13"/>
      <c r="H76" s="19">
        <f>H12-H52</f>
        <v>193116</v>
      </c>
      <c r="I76" s="13"/>
      <c r="J76" s="21">
        <f>IF(H$12=0,0,H76/H$12)</f>
        <v>0.53750086978304135</v>
      </c>
      <c r="K76" s="15"/>
      <c r="L76" s="19">
        <f>+D76-H76</f>
        <v>-146340.01</v>
      </c>
      <c r="M76" s="15"/>
      <c r="N76" s="21">
        <f>IF(H76=0,0,L76/H76)</f>
        <v>-0.75778293875183833</v>
      </c>
      <c r="O76" s="26"/>
      <c r="P76" s="19">
        <f>P12-P52</f>
        <v>463887.17999999982</v>
      </c>
      <c r="Q76" s="13"/>
      <c r="R76" s="21">
        <f>IF(P$12=0,0,P76/P$12)</f>
        <v>0.41165268594339455</v>
      </c>
      <c r="S76" s="13"/>
      <c r="T76" s="19">
        <f>T12-T52</f>
        <v>1176576</v>
      </c>
      <c r="U76" s="13"/>
      <c r="V76" s="21">
        <f>IF(T$12=0,0,T76/T$12)</f>
        <v>0.53749990292277816</v>
      </c>
      <c r="W76" s="15"/>
      <c r="X76" s="19">
        <f>+P76-T76</f>
        <v>-712688.82000000018</v>
      </c>
      <c r="Y76" s="15"/>
      <c r="Z76" s="21">
        <f>IF(T76=0,0,X76/T76)</f>
        <v>-0.60573122348237618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9</v>
      </c>
      <c r="C78" s="10"/>
      <c r="D78" s="20">
        <f>SUM(OSRRefD22x_0)</f>
        <v>40152.100000000006</v>
      </c>
      <c r="E78" s="20"/>
      <c r="F78" s="33">
        <f t="shared" ref="F78:F88" si="15">IF(D$12=0,0,D78/D$12)</f>
        <v>0.40253946510065125</v>
      </c>
      <c r="G78" s="20"/>
      <c r="H78" s="20">
        <f>SUM(OSRRefH22x_0)</f>
        <v>110093.5781660769</v>
      </c>
      <c r="I78" s="20"/>
      <c r="J78" s="33">
        <f t="shared" ref="J78:J88" si="16">IF(H$12=0,0,H78/H$12)</f>
        <v>0.30642408719004938</v>
      </c>
      <c r="K78" s="4"/>
      <c r="L78" s="20">
        <f t="shared" ref="L78:L88" si="17">+D78-H78</f>
        <v>-69941.478166076893</v>
      </c>
      <c r="M78" s="4"/>
      <c r="N78" s="33">
        <f t="shared" ref="N78:N88" si="18">IF(H78=0,0,L78/H78)</f>
        <v>-0.6352911707581137</v>
      </c>
      <c r="O78" s="10"/>
      <c r="P78" s="20">
        <f>SUM(OSRRefP22x_0)</f>
        <v>372069.68000000005</v>
      </c>
      <c r="Q78" s="20"/>
      <c r="R78" s="33">
        <f t="shared" ref="R78:R88" si="19">IF(P$12=0,0,P78/P$12)</f>
        <v>0.33017399431064121</v>
      </c>
      <c r="S78" s="20"/>
      <c r="T78" s="20">
        <f>SUM(OSRRefT22x_0)</f>
        <v>806918.65411942301</v>
      </c>
      <c r="U78" s="20"/>
      <c r="V78" s="33">
        <f t="shared" ref="V78:V88" si="20">IF(T$12=0,0,T78/T$12)</f>
        <v>0.36862786446074769</v>
      </c>
      <c r="W78" s="4"/>
      <c r="X78" s="20">
        <f t="shared" ref="X78:X88" si="21">+P78-T78</f>
        <v>-434848.97411942296</v>
      </c>
      <c r="Y78" s="4"/>
      <c r="Z78" s="33">
        <f t="shared" ref="Z78:Z88" si="22">IF(T78=0,0,X78/T78)</f>
        <v>-0.53890063378689201</v>
      </c>
    </row>
    <row r="79" spans="1:26" s="28" customFormat="1" outlineLevel="1" collapsed="1" x14ac:dyDescent="0.25">
      <c r="A79" s="29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9401.67</v>
      </c>
      <c r="E79" s="1"/>
      <c r="F79" s="5">
        <f t="shared" si="15"/>
        <v>9.4255175018313847E-2</v>
      </c>
      <c r="G79" s="1"/>
      <c r="H79" s="1">
        <f>SUM(OSRRefH22_0x_0)</f>
        <v>11979.853550692304</v>
      </c>
      <c r="I79" s="1"/>
      <c r="J79" s="5">
        <f t="shared" si="16"/>
        <v>3.3343595058775911E-2</v>
      </c>
      <c r="K79" s="1"/>
      <c r="L79" s="1">
        <f t="shared" si="17"/>
        <v>-2578.1835506923035</v>
      </c>
      <c r="M79" s="1"/>
      <c r="N79" s="5">
        <f t="shared" si="18"/>
        <v>-0.21520993890140777</v>
      </c>
      <c r="O79" s="14"/>
      <c r="P79" s="1">
        <f>SUM(OSRRefP22_0x_0)</f>
        <v>80973.540000000008</v>
      </c>
      <c r="Q79" s="1"/>
      <c r="R79" s="5">
        <f t="shared" si="19"/>
        <v>7.1855780173413958E-2</v>
      </c>
      <c r="S79" s="1"/>
      <c r="T79" s="1">
        <f>SUM(OSRRefT22_0x_0)</f>
        <v>102890.34123480761</v>
      </c>
      <c r="U79" s="1"/>
      <c r="V79" s="5">
        <f t="shared" si="20"/>
        <v>4.7003804620696504E-2</v>
      </c>
      <c r="W79" s="1"/>
      <c r="X79" s="1">
        <f t="shared" si="21"/>
        <v>-21916.801234807601</v>
      </c>
      <c r="Y79" s="1"/>
      <c r="Z79" s="5">
        <f t="shared" si="22"/>
        <v>-0.21301126006367241</v>
      </c>
    </row>
    <row r="80" spans="1:26" s="24" customFormat="1" hidden="1" outlineLevel="2" x14ac:dyDescent="0.25">
      <c r="A80" s="27"/>
      <c r="B80" s="11" t="str">
        <f>CONCATENATE("          ", "6111", " - ", "F.I.C.A.")</f>
        <v xml:space="preserve">          6111 - F.I.C.A.</v>
      </c>
      <c r="C80" s="11"/>
      <c r="D80" s="7">
        <v>1897.68</v>
      </c>
      <c r="E80" s="2"/>
      <c r="F80" s="6">
        <f t="shared" si="15"/>
        <v>1.9024934988013175E-2</v>
      </c>
      <c r="G80" s="2"/>
      <c r="H80" s="7">
        <v>1499.90676046154</v>
      </c>
      <c r="I80" s="2"/>
      <c r="J80" s="6">
        <f t="shared" si="16"/>
        <v>4.1746990841853683E-3</v>
      </c>
      <c r="K80" s="2"/>
      <c r="L80" s="7">
        <f t="shared" si="17"/>
        <v>397.77323953846007</v>
      </c>
      <c r="M80" s="2"/>
      <c r="N80" s="6">
        <f t="shared" si="18"/>
        <v>0.26519864435844021</v>
      </c>
      <c r="O80" s="11"/>
      <c r="P80" s="7">
        <v>18172.740000000002</v>
      </c>
      <c r="Q80" s="2"/>
      <c r="R80" s="6">
        <f t="shared" si="19"/>
        <v>1.6126458230535639E-2</v>
      </c>
      <c r="S80" s="2"/>
      <c r="T80" s="7">
        <v>18135.246106038459</v>
      </c>
      <c r="U80" s="2"/>
      <c r="V80" s="6">
        <f t="shared" si="20"/>
        <v>8.2847967504660665E-3</v>
      </c>
      <c r="W80" s="2"/>
      <c r="X80" s="7">
        <f t="shared" si="21"/>
        <v>37.493893961542199</v>
      </c>
      <c r="Y80" s="2"/>
      <c r="Z80" s="6">
        <f t="shared" si="22"/>
        <v>2.0674598923175313E-3</v>
      </c>
    </row>
    <row r="81" spans="1:26" s="24" customFormat="1" hidden="1" outlineLevel="2" x14ac:dyDescent="0.25">
      <c r="A81" s="27"/>
      <c r="B81" s="11" t="str">
        <f>CONCATENATE("          ", "6112", " - ", "COMPENSATION INSURANCE")</f>
        <v xml:space="preserve">          6112 - COMPENSATION INSURANCE</v>
      </c>
      <c r="C81" s="11"/>
      <c r="D81" s="7">
        <v>593.09</v>
      </c>
      <c r="E81" s="2"/>
      <c r="F81" s="6">
        <f t="shared" si="15"/>
        <v>5.9459438324905856E-3</v>
      </c>
      <c r="G81" s="2"/>
      <c r="H81" s="7">
        <v>1177.3334965384599</v>
      </c>
      <c r="I81" s="2"/>
      <c r="J81" s="6">
        <f t="shared" si="16"/>
        <v>3.2768790696479397E-3</v>
      </c>
      <c r="K81" s="2"/>
      <c r="L81" s="7">
        <f t="shared" si="17"/>
        <v>-584.24349653845991</v>
      </c>
      <c r="M81" s="2"/>
      <c r="N81" s="6">
        <f t="shared" si="18"/>
        <v>-0.49624299168946173</v>
      </c>
      <c r="O81" s="11"/>
      <c r="P81" s="7">
        <v>6570.09</v>
      </c>
      <c r="Q81" s="2"/>
      <c r="R81" s="6">
        <f t="shared" si="19"/>
        <v>5.8302865696565238E-3</v>
      </c>
      <c r="S81" s="2"/>
      <c r="T81" s="7">
        <v>8701.7273684615411</v>
      </c>
      <c r="U81" s="2"/>
      <c r="V81" s="6">
        <f t="shared" si="20"/>
        <v>3.9752447915039572E-3</v>
      </c>
      <c r="W81" s="2"/>
      <c r="X81" s="7">
        <f t="shared" si="21"/>
        <v>-2131.637368461541</v>
      </c>
      <c r="Y81" s="2"/>
      <c r="Z81" s="6">
        <f t="shared" si="22"/>
        <v>-0.24496715171604058</v>
      </c>
    </row>
    <row r="82" spans="1:26" s="24" customFormat="1" hidden="1" outlineLevel="2" x14ac:dyDescent="0.25">
      <c r="A82" s="27"/>
      <c r="B82" s="11" t="str">
        <f>CONCATENATE("          ", "6113", " - ", "GROUP INSURANCE")</f>
        <v xml:space="preserve">          6113 - GROUP INSURANCE</v>
      </c>
      <c r="C82" s="11"/>
      <c r="D82" s="7">
        <v>2823.95</v>
      </c>
      <c r="E82" s="2"/>
      <c r="F82" s="6">
        <f t="shared" si="15"/>
        <v>2.8311129989987669E-2</v>
      </c>
      <c r="G82" s="2"/>
      <c r="H82" s="7">
        <v>4968.8461538461497</v>
      </c>
      <c r="I82" s="2"/>
      <c r="J82" s="6">
        <f t="shared" si="16"/>
        <v>1.3829817982510123E-2</v>
      </c>
      <c r="K82" s="2"/>
      <c r="L82" s="7">
        <f t="shared" si="17"/>
        <v>-2144.8961538461499</v>
      </c>
      <c r="M82" s="2"/>
      <c r="N82" s="6">
        <f t="shared" si="18"/>
        <v>-0.43166885981887099</v>
      </c>
      <c r="O82" s="11"/>
      <c r="P82" s="7">
        <v>23476.95</v>
      </c>
      <c r="Q82" s="2"/>
      <c r="R82" s="6">
        <f t="shared" si="19"/>
        <v>2.0833405064694353E-2</v>
      </c>
      <c r="S82" s="2"/>
      <c r="T82" s="7">
        <v>40211.153846153822</v>
      </c>
      <c r="U82" s="2"/>
      <c r="V82" s="6">
        <f t="shared" si="20"/>
        <v>1.836982165939181E-2</v>
      </c>
      <c r="W82" s="2"/>
      <c r="X82" s="7">
        <f t="shared" si="21"/>
        <v>-16734.203846153821</v>
      </c>
      <c r="Y82" s="2"/>
      <c r="Z82" s="6">
        <f t="shared" si="22"/>
        <v>-0.41615826071985346</v>
      </c>
    </row>
    <row r="83" spans="1:26" s="24" customFormat="1" hidden="1" outlineLevel="2" x14ac:dyDescent="0.25">
      <c r="A83" s="27"/>
      <c r="B83" s="11" t="str">
        <f>CONCATENATE("          ", "6114", " - ", "STATE UNEMPLOYMENT INSURANCE")</f>
        <v xml:space="preserve">          6114 - STATE UNEMPLOYMENT INSURANCE</v>
      </c>
      <c r="C83" s="11"/>
      <c r="D83" s="7">
        <v>83.35</v>
      </c>
      <c r="E83" s="2"/>
      <c r="F83" s="6">
        <f t="shared" si="15"/>
        <v>8.3561418745568166E-4</v>
      </c>
      <c r="G83" s="2"/>
      <c r="H83" s="7">
        <v>165.463086</v>
      </c>
      <c r="I83" s="2"/>
      <c r="J83" s="6">
        <f t="shared" si="16"/>
        <v>4.6053435573430564E-4</v>
      </c>
      <c r="K83" s="2"/>
      <c r="L83" s="7">
        <f t="shared" si="17"/>
        <v>-82.11308600000001</v>
      </c>
      <c r="M83" s="2"/>
      <c r="N83" s="6">
        <f t="shared" si="18"/>
        <v>-0.49626226601382262</v>
      </c>
      <c r="O83" s="11"/>
      <c r="P83" s="7">
        <v>749.59</v>
      </c>
      <c r="Q83" s="2"/>
      <c r="R83" s="6">
        <f t="shared" si="19"/>
        <v>6.6518487718567531E-4</v>
      </c>
      <c r="S83" s="2"/>
      <c r="T83" s="7">
        <v>1222.9454679999999</v>
      </c>
      <c r="U83" s="2"/>
      <c r="V83" s="6">
        <f t="shared" si="20"/>
        <v>5.5868305177893436E-4</v>
      </c>
      <c r="W83" s="2"/>
      <c r="X83" s="7">
        <f t="shared" si="21"/>
        <v>-473.35546799999986</v>
      </c>
      <c r="Y83" s="2"/>
      <c r="Z83" s="6">
        <f t="shared" si="22"/>
        <v>-0.38706179497449178</v>
      </c>
    </row>
    <row r="84" spans="1:26" s="24" customFormat="1" hidden="1" outlineLevel="2" x14ac:dyDescent="0.25">
      <c r="A84" s="27"/>
      <c r="B84" s="11" t="str">
        <f>CONCATENATE("          ", "6115", " - ", "P.E.R.S.")</f>
        <v xml:space="preserve">          6115 - P.E.R.S.</v>
      </c>
      <c r="C84" s="11"/>
      <c r="D84" s="7">
        <v>1508.82</v>
      </c>
      <c r="E84" s="2"/>
      <c r="F84" s="6">
        <f t="shared" si="15"/>
        <v>1.5126471485505479E-2</v>
      </c>
      <c r="G84" s="2"/>
      <c r="H84" s="7">
        <v>1169.9731076923101</v>
      </c>
      <c r="I84" s="2"/>
      <c r="J84" s="6">
        <f t="shared" si="16"/>
        <v>3.2563928571810959E-3</v>
      </c>
      <c r="K84" s="2"/>
      <c r="L84" s="7">
        <f t="shared" si="17"/>
        <v>338.84689230768981</v>
      </c>
      <c r="M84" s="2"/>
      <c r="N84" s="6">
        <f t="shared" si="18"/>
        <v>0.28961938533445569</v>
      </c>
      <c r="O84" s="11"/>
      <c r="P84" s="7">
        <v>13115.7</v>
      </c>
      <c r="Q84" s="2"/>
      <c r="R84" s="6">
        <f t="shared" si="19"/>
        <v>1.1638849629402957E-2</v>
      </c>
      <c r="S84" s="2"/>
      <c r="T84" s="7">
        <v>10051.22949230769</v>
      </c>
      <c r="U84" s="2"/>
      <c r="V84" s="6">
        <f t="shared" si="20"/>
        <v>4.5917432247215206E-3</v>
      </c>
      <c r="W84" s="2"/>
      <c r="X84" s="7">
        <f t="shared" si="21"/>
        <v>3064.470507692311</v>
      </c>
      <c r="Y84" s="2"/>
      <c r="Z84" s="6">
        <f t="shared" si="22"/>
        <v>0.30488513967744763</v>
      </c>
    </row>
    <row r="85" spans="1:26" s="24" customFormat="1" hidden="1" outlineLevel="2" x14ac:dyDescent="0.25">
      <c r="A85" s="27"/>
      <c r="B85" s="11" t="str">
        <f>CONCATENATE("          ", "6116", " - ", "EDUCATIONAL BENEFITS")</f>
        <v xml:space="preserve">          6116 - EDUCATIONAL BENEFITS</v>
      </c>
      <c r="C85" s="11"/>
      <c r="D85" s="7"/>
      <c r="E85" s="2"/>
      <c r="F85" s="6">
        <f t="shared" si="15"/>
        <v>0</v>
      </c>
      <c r="G85" s="2"/>
      <c r="H85" s="7">
        <v>0</v>
      </c>
      <c r="I85" s="2"/>
      <c r="J85" s="6">
        <f t="shared" si="16"/>
        <v>0</v>
      </c>
      <c r="K85" s="2"/>
      <c r="L85" s="7">
        <f t="shared" si="17"/>
        <v>0</v>
      </c>
      <c r="M85" s="2"/>
      <c r="N85" s="6">
        <f t="shared" si="18"/>
        <v>0</v>
      </c>
      <c r="O85" s="11"/>
      <c r="P85" s="7"/>
      <c r="Q85" s="2"/>
      <c r="R85" s="6">
        <f t="shared" si="19"/>
        <v>0</v>
      </c>
      <c r="S85" s="2"/>
      <c r="T85" s="7">
        <v>0</v>
      </c>
      <c r="U85" s="2"/>
      <c r="V85" s="6">
        <f t="shared" si="20"/>
        <v>0</v>
      </c>
      <c r="W85" s="2"/>
      <c r="X85" s="7">
        <f t="shared" si="21"/>
        <v>0</v>
      </c>
      <c r="Y85" s="2"/>
      <c r="Z85" s="6">
        <f t="shared" si="22"/>
        <v>0</v>
      </c>
    </row>
    <row r="86" spans="1:26" s="24" customFormat="1" hidden="1" outlineLevel="2" x14ac:dyDescent="0.25">
      <c r="A86" s="27"/>
      <c r="B86" s="11" t="str">
        <f>CONCATENATE("          ", "6118", " - ", "VACATION")</f>
        <v xml:space="preserve">          6118 - VACATION</v>
      </c>
      <c r="C86" s="11"/>
      <c r="D86" s="7">
        <v>1290.6199999999999</v>
      </c>
      <c r="E86" s="2"/>
      <c r="F86" s="6">
        <f t="shared" si="15"/>
        <v>1.293893680400782E-2</v>
      </c>
      <c r="G86" s="2"/>
      <c r="H86" s="7">
        <v>877.97692307692296</v>
      </c>
      <c r="I86" s="2"/>
      <c r="J86" s="6">
        <f t="shared" si="16"/>
        <v>2.4436782027552582E-3</v>
      </c>
      <c r="K86" s="2"/>
      <c r="L86" s="7">
        <f t="shared" si="17"/>
        <v>412.64307692307693</v>
      </c>
      <c r="M86" s="2"/>
      <c r="N86" s="6">
        <f t="shared" si="18"/>
        <v>0.46999307849338962</v>
      </c>
      <c r="O86" s="11"/>
      <c r="P86" s="7">
        <v>9702.35</v>
      </c>
      <c r="Q86" s="2"/>
      <c r="R86" s="6">
        <f t="shared" si="19"/>
        <v>8.6098487081770533E-3</v>
      </c>
      <c r="S86" s="2"/>
      <c r="T86" s="7">
        <v>7536.6980769230649</v>
      </c>
      <c r="U86" s="2"/>
      <c r="V86" s="6">
        <f t="shared" si="20"/>
        <v>3.4430198174231295E-3</v>
      </c>
      <c r="W86" s="2"/>
      <c r="X86" s="7">
        <f t="shared" si="21"/>
        <v>2165.6519230769354</v>
      </c>
      <c r="Y86" s="2"/>
      <c r="Z86" s="6">
        <f t="shared" si="22"/>
        <v>0.28734757595080485</v>
      </c>
    </row>
    <row r="87" spans="1:26" s="24" customFormat="1" hidden="1" outlineLevel="2" x14ac:dyDescent="0.25">
      <c r="A87" s="27"/>
      <c r="B87" s="11" t="str">
        <f>CONCATENATE("          ", "6119", " - ", "SICK LEAVE")</f>
        <v xml:space="preserve">          6119 - SICK LEAVE</v>
      </c>
      <c r="C87" s="11"/>
      <c r="D87" s="7">
        <v>889.54</v>
      </c>
      <c r="E87" s="2"/>
      <c r="F87" s="6">
        <f t="shared" si="15"/>
        <v>8.9179633390441167E-3</v>
      </c>
      <c r="G87" s="2"/>
      <c r="H87" s="7">
        <v>1420.3540230769202</v>
      </c>
      <c r="I87" s="2"/>
      <c r="J87" s="6">
        <f t="shared" si="16"/>
        <v>3.9532794942091099E-3</v>
      </c>
      <c r="K87" s="2"/>
      <c r="L87" s="7">
        <f t="shared" si="17"/>
        <v>-530.81402307692019</v>
      </c>
      <c r="M87" s="2"/>
      <c r="N87" s="6">
        <f t="shared" si="18"/>
        <v>-0.37371951953711868</v>
      </c>
      <c r="O87" s="11"/>
      <c r="P87" s="7">
        <v>6903.35</v>
      </c>
      <c r="Q87" s="2"/>
      <c r="R87" s="6">
        <f t="shared" si="19"/>
        <v>6.1260209206629385E-3</v>
      </c>
      <c r="S87" s="2"/>
      <c r="T87" s="7">
        <v>11431.34087692305</v>
      </c>
      <c r="U87" s="2"/>
      <c r="V87" s="6">
        <f t="shared" si="20"/>
        <v>5.2222250085190627E-3</v>
      </c>
      <c r="W87" s="2"/>
      <c r="X87" s="7">
        <f t="shared" si="21"/>
        <v>-4527.9908769230497</v>
      </c>
      <c r="Y87" s="2"/>
      <c r="Z87" s="6">
        <f t="shared" si="22"/>
        <v>-0.39610321533354881</v>
      </c>
    </row>
    <row r="88" spans="1:26" s="24" customFormat="1" hidden="1" outlineLevel="2" x14ac:dyDescent="0.25">
      <c r="A88" s="27"/>
      <c r="B88" s="11" t="str">
        <f>CONCATENATE("          ", "6156", " - ", "EMPLOYEE MEALS")</f>
        <v xml:space="preserve">          6156 - EMPLOYEE MEALS</v>
      </c>
      <c r="C88" s="11"/>
      <c r="D88" s="7">
        <v>314.62</v>
      </c>
      <c r="E88" s="2"/>
      <c r="F88" s="6">
        <f t="shared" si="15"/>
        <v>3.1541803918093171E-3</v>
      </c>
      <c r="G88" s="2"/>
      <c r="H88" s="7">
        <v>700</v>
      </c>
      <c r="I88" s="2"/>
      <c r="J88" s="6">
        <f t="shared" si="16"/>
        <v>1.9483140125527089E-3</v>
      </c>
      <c r="K88" s="2"/>
      <c r="L88" s="7">
        <f t="shared" si="17"/>
        <v>-385.38</v>
      </c>
      <c r="M88" s="2"/>
      <c r="N88" s="6">
        <f t="shared" si="18"/>
        <v>-0.55054285714285711</v>
      </c>
      <c r="O88" s="11"/>
      <c r="P88" s="7">
        <v>2282.77</v>
      </c>
      <c r="Q88" s="2"/>
      <c r="R88" s="6">
        <f t="shared" si="19"/>
        <v>2.0257261730988194E-3</v>
      </c>
      <c r="S88" s="2"/>
      <c r="T88" s="7">
        <v>5600</v>
      </c>
      <c r="U88" s="2"/>
      <c r="V88" s="6">
        <f t="shared" si="20"/>
        <v>2.5582703168920305E-3</v>
      </c>
      <c r="W88" s="2"/>
      <c r="X88" s="7">
        <f t="shared" si="21"/>
        <v>-3317.23</v>
      </c>
      <c r="Y88" s="2"/>
      <c r="Z88" s="6">
        <f t="shared" si="22"/>
        <v>-0.59236250000000001</v>
      </c>
    </row>
    <row r="89" spans="1:26" s="28" customFormat="1" outlineLevel="1" collapsed="1" x14ac:dyDescent="0.25">
      <c r="A89" s="29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29414.399999999998</v>
      </c>
      <c r="E89" s="1"/>
      <c r="F89" s="5">
        <f t="shared" ref="F89:F99" si="23">IF(D$12=0,0,D89/D$12)</f>
        <v>0.29489010144566769</v>
      </c>
      <c r="G89" s="1"/>
      <c r="H89" s="1">
        <f>SUM(OSRRefH22_1x_0)</f>
        <v>61781.724615384599</v>
      </c>
      <c r="I89" s="1"/>
      <c r="J89" s="5">
        <f t="shared" ref="J89:J99" si="24">IF(H$12=0,0,H89/H$12)</f>
        <v>0.17195742826832347</v>
      </c>
      <c r="K89" s="1"/>
      <c r="L89" s="1">
        <f t="shared" ref="L89:L99" si="25">+D89-H89</f>
        <v>-32367.324615384601</v>
      </c>
      <c r="M89" s="1"/>
      <c r="N89" s="5">
        <f t="shared" ref="N89:N99" si="26">IF(H89=0,0,L89/H89)</f>
        <v>-0.5238980429388117</v>
      </c>
      <c r="O89" s="14"/>
      <c r="P89" s="1">
        <f>SUM(OSRRefP22_1x_0)</f>
        <v>237860.55999999997</v>
      </c>
      <c r="Q89" s="1"/>
      <c r="R89" s="5">
        <f t="shared" ref="R89:R99" si="27">IF(P$12=0,0,P89/P$12)</f>
        <v>0.21107705197630161</v>
      </c>
      <c r="S89" s="1"/>
      <c r="T89" s="1">
        <f>SUM(OSRRefT22_1x_0)</f>
        <v>454417.31288461538</v>
      </c>
      <c r="U89" s="1"/>
      <c r="V89" s="5">
        <f t="shared" ref="V89:V99" si="28">IF(T$12=0,0,T89/T$12)</f>
        <v>0.20759327197045535</v>
      </c>
      <c r="W89" s="1"/>
      <c r="X89" s="1">
        <f t="shared" ref="X89:X99" si="29">+P89-T89</f>
        <v>-216556.75288461542</v>
      </c>
      <c r="Y89" s="1"/>
      <c r="Z89" s="5">
        <f t="shared" ref="Z89:Z99" si="30">IF(T89=0,0,X89/T89)</f>
        <v>-0.47655920393949208</v>
      </c>
    </row>
    <row r="90" spans="1:26" s="24" customFormat="1" hidden="1" outlineLevel="2" x14ac:dyDescent="0.25">
      <c r="A90" s="27"/>
      <c r="B90" s="11" t="str">
        <f>CONCATENATE("          ", "6001", " - ", "ADMINISTRATIVE SALARIES")</f>
        <v xml:space="preserve">          6001 - ADMINISTRATIVE SALARIES</v>
      </c>
      <c r="C90" s="11"/>
      <c r="D90" s="7"/>
      <c r="E90" s="2"/>
      <c r="F90" s="6">
        <f t="shared" si="23"/>
        <v>0</v>
      </c>
      <c r="G90" s="2"/>
      <c r="H90" s="7">
        <v>0</v>
      </c>
      <c r="I90" s="2"/>
      <c r="J90" s="6">
        <f t="shared" si="24"/>
        <v>0</v>
      </c>
      <c r="K90" s="2"/>
      <c r="L90" s="7">
        <f t="shared" si="25"/>
        <v>0</v>
      </c>
      <c r="M90" s="2"/>
      <c r="N90" s="6">
        <f t="shared" si="26"/>
        <v>0</v>
      </c>
      <c r="O90" s="11"/>
      <c r="P90" s="7"/>
      <c r="Q90" s="2"/>
      <c r="R90" s="6">
        <f t="shared" si="27"/>
        <v>0</v>
      </c>
      <c r="S90" s="2"/>
      <c r="T90" s="7">
        <v>0</v>
      </c>
      <c r="U90" s="2"/>
      <c r="V90" s="6">
        <f t="shared" si="28"/>
        <v>0</v>
      </c>
      <c r="W90" s="2"/>
      <c r="X90" s="7">
        <f t="shared" si="29"/>
        <v>0</v>
      </c>
      <c r="Y90" s="2"/>
      <c r="Z90" s="6">
        <f t="shared" si="30"/>
        <v>0</v>
      </c>
    </row>
    <row r="91" spans="1:26" s="24" customFormat="1" hidden="1" outlineLevel="2" x14ac:dyDescent="0.25">
      <c r="A91" s="27"/>
      <c r="B91" s="11" t="str">
        <f>CONCATENATE("          ", "6002", " - ", "STAFF SALARIES")</f>
        <v xml:space="preserve">          6002 - STAFF SALARIES</v>
      </c>
      <c r="C91" s="11"/>
      <c r="D91" s="7">
        <v>14381.13</v>
      </c>
      <c r="E91" s="2"/>
      <c r="F91" s="6">
        <f t="shared" si="23"/>
        <v>0.14417607989975437</v>
      </c>
      <c r="G91" s="2"/>
      <c r="H91" s="7">
        <v>12243.904615384599</v>
      </c>
      <c r="I91" s="2"/>
      <c r="J91" s="6">
        <f t="shared" si="24"/>
        <v>3.4078529900732284E-2</v>
      </c>
      <c r="K91" s="2"/>
      <c r="L91" s="7">
        <f t="shared" si="25"/>
        <v>2137.2253846153999</v>
      </c>
      <c r="M91" s="2"/>
      <c r="N91" s="6">
        <f t="shared" si="26"/>
        <v>0.17455423345343224</v>
      </c>
      <c r="O91" s="11"/>
      <c r="P91" s="7">
        <v>107714.8</v>
      </c>
      <c r="Q91" s="2"/>
      <c r="R91" s="6">
        <f t="shared" si="27"/>
        <v>9.5585928319587482E-2</v>
      </c>
      <c r="S91" s="2"/>
      <c r="T91" s="7">
        <v>105187.2853846154</v>
      </c>
      <c r="U91" s="2"/>
      <c r="V91" s="6">
        <f t="shared" si="28"/>
        <v>4.8053126770341514E-2</v>
      </c>
      <c r="W91" s="2"/>
      <c r="X91" s="7">
        <f t="shared" si="29"/>
        <v>2527.5146153845999</v>
      </c>
      <c r="Y91" s="2"/>
      <c r="Z91" s="6">
        <f t="shared" si="30"/>
        <v>2.4028708471207222E-2</v>
      </c>
    </row>
    <row r="92" spans="1:26" s="24" customFormat="1" hidden="1" outlineLevel="2" x14ac:dyDescent="0.25">
      <c r="A92" s="27"/>
      <c r="B92" s="11" t="str">
        <f>CONCATENATE("          ", "6003", " - ", "STAFF HOURLY-9 MONTH")</f>
        <v xml:space="preserve">          6003 - STAFF HOURLY-9 MONTH</v>
      </c>
      <c r="C92" s="11"/>
      <c r="D92" s="7"/>
      <c r="E92" s="2"/>
      <c r="F92" s="6">
        <f t="shared" si="23"/>
        <v>0</v>
      </c>
      <c r="G92" s="2"/>
      <c r="H92" s="7">
        <v>0</v>
      </c>
      <c r="I92" s="2"/>
      <c r="J92" s="6">
        <f t="shared" si="24"/>
        <v>0</v>
      </c>
      <c r="K92" s="2"/>
      <c r="L92" s="7">
        <f t="shared" si="25"/>
        <v>0</v>
      </c>
      <c r="M92" s="2"/>
      <c r="N92" s="6">
        <f t="shared" si="26"/>
        <v>0</v>
      </c>
      <c r="O92" s="11"/>
      <c r="P92" s="7"/>
      <c r="Q92" s="2"/>
      <c r="R92" s="6">
        <f t="shared" si="27"/>
        <v>0</v>
      </c>
      <c r="S92" s="2"/>
      <c r="T92" s="7">
        <v>0</v>
      </c>
      <c r="U92" s="2"/>
      <c r="V92" s="6">
        <f t="shared" si="28"/>
        <v>0</v>
      </c>
      <c r="W92" s="2"/>
      <c r="X92" s="7">
        <f t="shared" si="29"/>
        <v>0</v>
      </c>
      <c r="Y92" s="2"/>
      <c r="Z92" s="6">
        <f t="shared" si="30"/>
        <v>0</v>
      </c>
    </row>
    <row r="93" spans="1:26" s="24" customFormat="1" hidden="1" outlineLevel="2" x14ac:dyDescent="0.25">
      <c r="A93" s="27"/>
      <c r="B93" s="11" t="str">
        <f>CONCATENATE("          ", "6004", " - ", "STAFF HOURLY")</f>
        <v xml:space="preserve">          6004 - STAFF HOURLY</v>
      </c>
      <c r="C93" s="11"/>
      <c r="D93" s="7">
        <v>3620.72</v>
      </c>
      <c r="E93" s="2"/>
      <c r="F93" s="6">
        <f t="shared" si="23"/>
        <v>3.6299040201614105E-2</v>
      </c>
      <c r="G93" s="2"/>
      <c r="H93" s="7">
        <v>5497.11</v>
      </c>
      <c r="I93" s="2"/>
      <c r="J93" s="6">
        <f t="shared" si="24"/>
        <v>1.5300137773633744E-2</v>
      </c>
      <c r="K93" s="2"/>
      <c r="L93" s="7">
        <f t="shared" si="25"/>
        <v>-1876.3899999999999</v>
      </c>
      <c r="M93" s="2"/>
      <c r="N93" s="6">
        <f t="shared" si="26"/>
        <v>-0.34134117745506276</v>
      </c>
      <c r="O93" s="11"/>
      <c r="P93" s="7">
        <v>45827.18</v>
      </c>
      <c r="Q93" s="2"/>
      <c r="R93" s="6">
        <f t="shared" si="27"/>
        <v>4.0666960738624892E-2</v>
      </c>
      <c r="S93" s="2"/>
      <c r="T93" s="7">
        <v>47058.997499999998</v>
      </c>
      <c r="U93" s="2"/>
      <c r="V93" s="6">
        <f t="shared" si="28"/>
        <v>2.1498149365526117E-2</v>
      </c>
      <c r="W93" s="2"/>
      <c r="X93" s="7">
        <f t="shared" si="29"/>
        <v>-1231.8174999999974</v>
      </c>
      <c r="Y93" s="2"/>
      <c r="Z93" s="6">
        <f t="shared" si="30"/>
        <v>-2.6176025105507133E-2</v>
      </c>
    </row>
    <row r="94" spans="1:26" s="24" customFormat="1" hidden="1" outlineLevel="2" x14ac:dyDescent="0.25">
      <c r="A94" s="27"/>
      <c r="B94" s="11" t="str">
        <f>CONCATENATE("          ", "6005", " - ", "TEMPORARY WAGES-HOURLY")</f>
        <v xml:space="preserve">          6005 - TEMPORARY WAGES-HOURLY</v>
      </c>
      <c r="C94" s="11"/>
      <c r="D94" s="7">
        <v>4486.3500000000004</v>
      </c>
      <c r="E94" s="2"/>
      <c r="F94" s="6">
        <f t="shared" si="23"/>
        <v>4.4977297059289718E-2</v>
      </c>
      <c r="G94" s="2"/>
      <c r="H94" s="7">
        <v>0</v>
      </c>
      <c r="I94" s="2"/>
      <c r="J94" s="6">
        <f t="shared" si="24"/>
        <v>0</v>
      </c>
      <c r="K94" s="2"/>
      <c r="L94" s="7">
        <f t="shared" si="25"/>
        <v>4486.3500000000004</v>
      </c>
      <c r="M94" s="2"/>
      <c r="N94" s="6">
        <f t="shared" si="26"/>
        <v>0</v>
      </c>
      <c r="O94" s="11"/>
      <c r="P94" s="7">
        <v>31871.64</v>
      </c>
      <c r="Q94" s="2"/>
      <c r="R94" s="6">
        <f t="shared" si="27"/>
        <v>2.8282838537208414E-2</v>
      </c>
      <c r="S94" s="2"/>
      <c r="T94" s="7">
        <v>0</v>
      </c>
      <c r="U94" s="2"/>
      <c r="V94" s="6">
        <f t="shared" si="28"/>
        <v>0</v>
      </c>
      <c r="W94" s="2"/>
      <c r="X94" s="7">
        <f t="shared" si="29"/>
        <v>31871.64</v>
      </c>
      <c r="Y94" s="2"/>
      <c r="Z94" s="6">
        <f t="shared" si="30"/>
        <v>0</v>
      </c>
    </row>
    <row r="95" spans="1:26" s="24" customFormat="1" hidden="1" outlineLevel="2" x14ac:dyDescent="0.25">
      <c r="A95" s="27"/>
      <c r="B95" s="11" t="str">
        <f>CONCATENATE("          ", "6006", " - ", "TEMPORARY PART TIME")</f>
        <v xml:space="preserve">          6006 - TEMPORARY PART TIME</v>
      </c>
      <c r="C95" s="11"/>
      <c r="D95" s="7">
        <v>990.78</v>
      </c>
      <c r="E95" s="2"/>
      <c r="F95" s="6">
        <f t="shared" si="23"/>
        <v>9.9329313095061818E-3</v>
      </c>
      <c r="G95" s="2"/>
      <c r="H95" s="7">
        <v>0</v>
      </c>
      <c r="I95" s="2"/>
      <c r="J95" s="6">
        <f t="shared" si="24"/>
        <v>0</v>
      </c>
      <c r="K95" s="2"/>
      <c r="L95" s="7">
        <f t="shared" si="25"/>
        <v>990.78</v>
      </c>
      <c r="M95" s="2"/>
      <c r="N95" s="6">
        <f t="shared" si="26"/>
        <v>0</v>
      </c>
      <c r="O95" s="11"/>
      <c r="P95" s="7">
        <v>990.78</v>
      </c>
      <c r="Q95" s="2"/>
      <c r="R95" s="6">
        <f t="shared" si="27"/>
        <v>8.7921646849347421E-4</v>
      </c>
      <c r="S95" s="2"/>
      <c r="T95" s="7">
        <v>0</v>
      </c>
      <c r="U95" s="2"/>
      <c r="V95" s="6">
        <f t="shared" si="28"/>
        <v>0</v>
      </c>
      <c r="W95" s="2"/>
      <c r="X95" s="7">
        <f t="shared" si="29"/>
        <v>990.78</v>
      </c>
      <c r="Y95" s="2"/>
      <c r="Z95" s="6">
        <f t="shared" si="30"/>
        <v>0</v>
      </c>
    </row>
    <row r="96" spans="1:26" s="24" customFormat="1" hidden="1" outlineLevel="2" x14ac:dyDescent="0.25">
      <c r="A96" s="27"/>
      <c r="B96" s="11" t="str">
        <f>CONCATENATE("          ", "6007", " - ", "STUDENT HOURLY")</f>
        <v xml:space="preserve">          6007 - STUDENT HOURLY</v>
      </c>
      <c r="C96" s="11"/>
      <c r="D96" s="7">
        <v>5096.3999999999996</v>
      </c>
      <c r="E96" s="2"/>
      <c r="F96" s="6">
        <f t="shared" si="23"/>
        <v>5.1093271085172594E-2</v>
      </c>
      <c r="G96" s="2"/>
      <c r="H96" s="7">
        <v>0</v>
      </c>
      <c r="I96" s="2"/>
      <c r="J96" s="6">
        <f t="shared" si="24"/>
        <v>0</v>
      </c>
      <c r="K96" s="2"/>
      <c r="L96" s="7">
        <f t="shared" si="25"/>
        <v>5096.3999999999996</v>
      </c>
      <c r="M96" s="2"/>
      <c r="N96" s="6">
        <f t="shared" si="26"/>
        <v>0</v>
      </c>
      <c r="O96" s="11"/>
      <c r="P96" s="7">
        <v>47043.199999999997</v>
      </c>
      <c r="Q96" s="2"/>
      <c r="R96" s="6">
        <f t="shared" si="27"/>
        <v>4.1746054795849939E-2</v>
      </c>
      <c r="S96" s="2"/>
      <c r="T96" s="7">
        <v>68776.5</v>
      </c>
      <c r="U96" s="2"/>
      <c r="V96" s="6">
        <f t="shared" si="28"/>
        <v>3.1419442580307988E-2</v>
      </c>
      <c r="W96" s="2"/>
      <c r="X96" s="7">
        <f t="shared" si="29"/>
        <v>-21733.300000000003</v>
      </c>
      <c r="Y96" s="2"/>
      <c r="Z96" s="6">
        <f t="shared" si="30"/>
        <v>-0.31599892405109309</v>
      </c>
    </row>
    <row r="97" spans="1:26" s="24" customFormat="1" hidden="1" outlineLevel="2" x14ac:dyDescent="0.25">
      <c r="A97" s="27"/>
      <c r="B97" s="11" t="str">
        <f>CONCATENATE("          ", "6008", " - ", "STUDENT HOURLY-FICA EXEMPT")</f>
        <v xml:space="preserve">          6008 - STUDENT HOURLY-FICA EXEMPT</v>
      </c>
      <c r="C97" s="11"/>
      <c r="D97" s="7">
        <v>839.02</v>
      </c>
      <c r="E97" s="2"/>
      <c r="F97" s="6">
        <f t="shared" si="23"/>
        <v>8.411481890330726E-3</v>
      </c>
      <c r="G97" s="2"/>
      <c r="H97" s="7">
        <v>44040.71</v>
      </c>
      <c r="I97" s="2"/>
      <c r="J97" s="6">
        <f t="shared" si="24"/>
        <v>0.12257876059395745</v>
      </c>
      <c r="K97" s="2"/>
      <c r="L97" s="7">
        <f t="shared" si="25"/>
        <v>-43201.69</v>
      </c>
      <c r="M97" s="2"/>
      <c r="N97" s="6">
        <f t="shared" si="26"/>
        <v>-0.98094899015024972</v>
      </c>
      <c r="O97" s="11"/>
      <c r="P97" s="7">
        <v>4412.96</v>
      </c>
      <c r="Q97" s="2"/>
      <c r="R97" s="6">
        <f t="shared" si="27"/>
        <v>3.9160531165374378E-3</v>
      </c>
      <c r="S97" s="2"/>
      <c r="T97" s="7">
        <v>233394.53</v>
      </c>
      <c r="U97" s="2"/>
      <c r="V97" s="6">
        <f t="shared" si="28"/>
        <v>0.10662255325427973</v>
      </c>
      <c r="W97" s="2"/>
      <c r="X97" s="7">
        <f t="shared" si="29"/>
        <v>-228981.57</v>
      </c>
      <c r="Y97" s="2"/>
      <c r="Z97" s="6">
        <f t="shared" si="30"/>
        <v>-0.98109227324222215</v>
      </c>
    </row>
    <row r="98" spans="1:26" s="24" customFormat="1" hidden="1" outlineLevel="2" x14ac:dyDescent="0.25">
      <c r="A98" s="27"/>
      <c r="B98" s="11" t="str">
        <f>CONCATENATE("          ", "6009", " - ", "TEMPORARY-SEASONAL")</f>
        <v xml:space="preserve">          6009 - TEMPORARY-SEASONAL</v>
      </c>
      <c r="C98" s="11"/>
      <c r="D98" s="7"/>
      <c r="E98" s="2"/>
      <c r="F98" s="6">
        <f t="shared" si="23"/>
        <v>0</v>
      </c>
      <c r="G98" s="2"/>
      <c r="H98" s="7">
        <v>0</v>
      </c>
      <c r="I98" s="2"/>
      <c r="J98" s="6">
        <f t="shared" si="24"/>
        <v>0</v>
      </c>
      <c r="K98" s="2"/>
      <c r="L98" s="7">
        <f t="shared" si="25"/>
        <v>0</v>
      </c>
      <c r="M98" s="2"/>
      <c r="N98" s="6">
        <f t="shared" si="26"/>
        <v>0</v>
      </c>
      <c r="O98" s="11"/>
      <c r="P98" s="7"/>
      <c r="Q98" s="2"/>
      <c r="R98" s="6">
        <f t="shared" si="27"/>
        <v>0</v>
      </c>
      <c r="S98" s="2"/>
      <c r="T98" s="7">
        <v>0</v>
      </c>
      <c r="U98" s="2"/>
      <c r="V98" s="6">
        <f t="shared" si="28"/>
        <v>0</v>
      </c>
      <c r="W98" s="2"/>
      <c r="X98" s="7">
        <f t="shared" si="29"/>
        <v>0</v>
      </c>
      <c r="Y98" s="2"/>
      <c r="Z98" s="6">
        <f t="shared" si="30"/>
        <v>0</v>
      </c>
    </row>
    <row r="99" spans="1:26" s="24" customFormat="1" hidden="1" outlineLevel="2" x14ac:dyDescent="0.25">
      <c r="A99" s="27"/>
      <c r="B99" s="11" t="str">
        <f>CONCATENATE("          ", "6010", " - ", "GRATUITY")</f>
        <v xml:space="preserve">          6010 - GRATUITY</v>
      </c>
      <c r="C99" s="11"/>
      <c r="D99" s="7"/>
      <c r="E99" s="2"/>
      <c r="F99" s="6">
        <f t="shared" si="23"/>
        <v>0</v>
      </c>
      <c r="G99" s="2"/>
      <c r="H99" s="7">
        <v>0</v>
      </c>
      <c r="I99" s="2"/>
      <c r="J99" s="6">
        <f t="shared" si="24"/>
        <v>0</v>
      </c>
      <c r="K99" s="2"/>
      <c r="L99" s="7">
        <f t="shared" si="25"/>
        <v>0</v>
      </c>
      <c r="M99" s="2"/>
      <c r="N99" s="6">
        <f t="shared" si="26"/>
        <v>0</v>
      </c>
      <c r="O99" s="11"/>
      <c r="P99" s="7"/>
      <c r="Q99" s="2"/>
      <c r="R99" s="6">
        <f t="shared" si="27"/>
        <v>0</v>
      </c>
      <c r="S99" s="2"/>
      <c r="T99" s="7">
        <v>0</v>
      </c>
      <c r="U99" s="2"/>
      <c r="V99" s="6">
        <f t="shared" si="28"/>
        <v>0</v>
      </c>
      <c r="W99" s="2"/>
      <c r="X99" s="7">
        <f t="shared" si="29"/>
        <v>0</v>
      </c>
      <c r="Y99" s="2"/>
      <c r="Z99" s="6">
        <f t="shared" si="30"/>
        <v>0</v>
      </c>
    </row>
    <row r="100" spans="1:26" s="28" customFormat="1" outlineLevel="1" collapsed="1" x14ac:dyDescent="0.25">
      <c r="A100" s="29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114.65</v>
      </c>
      <c r="E100" s="1"/>
      <c r="F100" s="5">
        <f t="shared" ref="F100:F112" si="31">IF(D$12=0,0,D100/D$12)</f>
        <v>1.1494081174780314E-3</v>
      </c>
      <c r="G100" s="1"/>
      <c r="H100" s="1">
        <f>SUM(OSRRefH22_2x_0)</f>
        <v>580</v>
      </c>
      <c r="I100" s="1"/>
      <c r="J100" s="5">
        <f t="shared" ref="J100:J112" si="32">IF(H$12=0,0,H100/H$12)</f>
        <v>1.6143173246865301E-3</v>
      </c>
      <c r="K100" s="1"/>
      <c r="L100" s="1">
        <f t="shared" ref="L100:L112" si="33">+D100-H100</f>
        <v>-465.35</v>
      </c>
      <c r="M100" s="1"/>
      <c r="N100" s="5">
        <f t="shared" ref="N100:N112" si="34">IF(H100=0,0,L100/H100)</f>
        <v>-0.80232758620689659</v>
      </c>
      <c r="O100" s="14"/>
      <c r="P100" s="1">
        <f>SUM(OSRRefP22_2x_0)</f>
        <v>12775.32</v>
      </c>
      <c r="Q100" s="1"/>
      <c r="R100" s="5">
        <f t="shared" ref="R100:R112" si="35">IF(P$12=0,0,P100/P$12)</f>
        <v>1.1336797002638377E-2</v>
      </c>
      <c r="S100" s="1"/>
      <c r="T100" s="1">
        <f>SUM(OSRRefT22_2x_0)</f>
        <v>5640</v>
      </c>
      <c r="U100" s="1"/>
      <c r="V100" s="5">
        <f t="shared" ref="V100:V112" si="36">IF(T$12=0,0,T100/T$12)</f>
        <v>2.576543676298402E-3</v>
      </c>
      <c r="W100" s="1"/>
      <c r="X100" s="1">
        <f t="shared" ref="X100:X112" si="37">+P100-T100</f>
        <v>7135.32</v>
      </c>
      <c r="Y100" s="1"/>
      <c r="Z100" s="5">
        <f t="shared" ref="Z100:Z112" si="38">IF(T100=0,0,X100/T100)</f>
        <v>1.265127659574468</v>
      </c>
    </row>
    <row r="101" spans="1:26" s="24" customFormat="1" hidden="1" outlineLevel="2" x14ac:dyDescent="0.25">
      <c r="A101" s="27"/>
      <c r="B101" s="11" t="str">
        <f>CONCATENATE("          ", "6362", " - ", "ADVERTISING EXPENSE")</f>
        <v xml:space="preserve">          6362 - ADVERTISING EXPENSE</v>
      </c>
      <c r="C101" s="11"/>
      <c r="D101" s="7">
        <v>114.65</v>
      </c>
      <c r="E101" s="2"/>
      <c r="F101" s="6">
        <f t="shared" si="31"/>
        <v>1.1494081174780314E-3</v>
      </c>
      <c r="G101" s="2"/>
      <c r="H101" s="7">
        <v>580</v>
      </c>
      <c r="I101" s="2"/>
      <c r="J101" s="6">
        <f t="shared" si="32"/>
        <v>1.6143173246865301E-3</v>
      </c>
      <c r="K101" s="2"/>
      <c r="L101" s="7">
        <f t="shared" si="33"/>
        <v>-465.35</v>
      </c>
      <c r="M101" s="2"/>
      <c r="N101" s="6">
        <f t="shared" si="34"/>
        <v>-0.80232758620689659</v>
      </c>
      <c r="O101" s="11"/>
      <c r="P101" s="7">
        <v>12775.32</v>
      </c>
      <c r="Q101" s="2"/>
      <c r="R101" s="6">
        <f t="shared" si="35"/>
        <v>1.1336797002638377E-2</v>
      </c>
      <c r="S101" s="2"/>
      <c r="T101" s="7">
        <v>5640</v>
      </c>
      <c r="U101" s="2"/>
      <c r="V101" s="6">
        <f t="shared" si="36"/>
        <v>2.576543676298402E-3</v>
      </c>
      <c r="W101" s="2"/>
      <c r="X101" s="7">
        <f t="shared" si="37"/>
        <v>7135.32</v>
      </c>
      <c r="Y101" s="2"/>
      <c r="Z101" s="6">
        <f t="shared" si="38"/>
        <v>1.265127659574468</v>
      </c>
    </row>
    <row r="102" spans="1:26" s="28" customFormat="1" outlineLevel="1" collapsed="1" x14ac:dyDescent="0.25">
      <c r="A102" s="29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0</v>
      </c>
      <c r="E102" s="1"/>
      <c r="F102" s="5">
        <f t="shared" si="31"/>
        <v>0</v>
      </c>
      <c r="G102" s="1"/>
      <c r="H102" s="1">
        <f>SUM(OSRRefH22_3x_0)</f>
        <v>0</v>
      </c>
      <c r="I102" s="1"/>
      <c r="J102" s="5">
        <f t="shared" si="32"/>
        <v>0</v>
      </c>
      <c r="K102" s="1"/>
      <c r="L102" s="1">
        <f t="shared" si="33"/>
        <v>0</v>
      </c>
      <c r="M102" s="1"/>
      <c r="N102" s="5">
        <f t="shared" si="34"/>
        <v>0</v>
      </c>
      <c r="O102" s="14"/>
      <c r="P102" s="1">
        <f>SUM(OSRRefP22_3x_0)</f>
        <v>0</v>
      </c>
      <c r="Q102" s="1"/>
      <c r="R102" s="5">
        <f t="shared" si="35"/>
        <v>0</v>
      </c>
      <c r="S102" s="1"/>
      <c r="T102" s="1">
        <f>SUM(OSRRefT22_3x_0)</f>
        <v>0</v>
      </c>
      <c r="U102" s="1"/>
      <c r="V102" s="5">
        <f t="shared" si="36"/>
        <v>0</v>
      </c>
      <c r="W102" s="1"/>
      <c r="X102" s="1">
        <f t="shared" si="37"/>
        <v>0</v>
      </c>
      <c r="Y102" s="1"/>
      <c r="Z102" s="5">
        <f t="shared" si="38"/>
        <v>0</v>
      </c>
    </row>
    <row r="103" spans="1:26" s="24" customFormat="1" hidden="1" outlineLevel="2" x14ac:dyDescent="0.25">
      <c r="A103" s="27"/>
      <c r="B103" s="11" t="str">
        <f>CONCATENATE("          ", "6272", " - ", "CASH (OVER/SHORT)")</f>
        <v xml:space="preserve">          6272 - CASH (OVER/SHORT)</v>
      </c>
      <c r="C103" s="11"/>
      <c r="D103" s="7"/>
      <c r="E103" s="2"/>
      <c r="F103" s="6">
        <f t="shared" si="31"/>
        <v>0</v>
      </c>
      <c r="G103" s="2"/>
      <c r="H103" s="7">
        <v>0</v>
      </c>
      <c r="I103" s="2"/>
      <c r="J103" s="6">
        <f t="shared" si="32"/>
        <v>0</v>
      </c>
      <c r="K103" s="2"/>
      <c r="L103" s="7">
        <f t="shared" si="33"/>
        <v>0</v>
      </c>
      <c r="M103" s="2"/>
      <c r="N103" s="6">
        <f t="shared" si="34"/>
        <v>0</v>
      </c>
      <c r="O103" s="11"/>
      <c r="P103" s="7"/>
      <c r="Q103" s="2"/>
      <c r="R103" s="6">
        <f t="shared" si="35"/>
        <v>0</v>
      </c>
      <c r="S103" s="2"/>
      <c r="T103" s="7">
        <v>0</v>
      </c>
      <c r="U103" s="2"/>
      <c r="V103" s="6">
        <f t="shared" si="36"/>
        <v>0</v>
      </c>
      <c r="W103" s="2"/>
      <c r="X103" s="7">
        <f t="shared" si="37"/>
        <v>0</v>
      </c>
      <c r="Y103" s="2"/>
      <c r="Z103" s="6">
        <f t="shared" si="38"/>
        <v>0</v>
      </c>
    </row>
    <row r="104" spans="1:26" s="28" customFormat="1" outlineLevel="1" collapsed="1" x14ac:dyDescent="0.25">
      <c r="A104" s="29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0</v>
      </c>
      <c r="E104" s="1"/>
      <c r="F104" s="5">
        <f t="shared" si="31"/>
        <v>0</v>
      </c>
      <c r="G104" s="1"/>
      <c r="H104" s="1">
        <f>SUM(OSRRefH22_4x_0)</f>
        <v>0</v>
      </c>
      <c r="I104" s="1"/>
      <c r="J104" s="5">
        <f t="shared" si="32"/>
        <v>0</v>
      </c>
      <c r="K104" s="1"/>
      <c r="L104" s="1">
        <f t="shared" si="33"/>
        <v>0</v>
      </c>
      <c r="M104" s="1"/>
      <c r="N104" s="5">
        <f t="shared" si="34"/>
        <v>0</v>
      </c>
      <c r="O104" s="14"/>
      <c r="P104" s="1">
        <f>SUM(OSRRefP22_4x_0)</f>
        <v>0</v>
      </c>
      <c r="Q104" s="1"/>
      <c r="R104" s="5">
        <f t="shared" si="35"/>
        <v>0</v>
      </c>
      <c r="S104" s="1"/>
      <c r="T104" s="1">
        <f>SUM(OSRRefT22_4x_0)</f>
        <v>0</v>
      </c>
      <c r="U104" s="1"/>
      <c r="V104" s="5">
        <f t="shared" si="36"/>
        <v>0</v>
      </c>
      <c r="W104" s="1"/>
      <c r="X104" s="1">
        <f t="shared" si="37"/>
        <v>0</v>
      </c>
      <c r="Y104" s="1"/>
      <c r="Z104" s="5">
        <f t="shared" si="38"/>
        <v>0</v>
      </c>
    </row>
    <row r="105" spans="1:26" s="24" customFormat="1" hidden="1" outlineLevel="2" x14ac:dyDescent="0.25">
      <c r="A105" s="27"/>
      <c r="B105" s="11" t="str">
        <f>CONCATENATE("          ", "6381", " - ", "BANK/CREDIT CARD FEES")</f>
        <v xml:space="preserve">          6381 - BANK/CREDIT CARD FEES</v>
      </c>
      <c r="C105" s="11"/>
      <c r="D105" s="7"/>
      <c r="E105" s="2"/>
      <c r="F105" s="6">
        <f t="shared" si="31"/>
        <v>0</v>
      </c>
      <c r="G105" s="2"/>
      <c r="H105" s="7">
        <v>0</v>
      </c>
      <c r="I105" s="2"/>
      <c r="J105" s="6">
        <f t="shared" si="32"/>
        <v>0</v>
      </c>
      <c r="K105" s="2"/>
      <c r="L105" s="7">
        <f t="shared" si="33"/>
        <v>0</v>
      </c>
      <c r="M105" s="2"/>
      <c r="N105" s="6">
        <f t="shared" si="34"/>
        <v>0</v>
      </c>
      <c r="O105" s="11"/>
      <c r="P105" s="7"/>
      <c r="Q105" s="2"/>
      <c r="R105" s="6">
        <f t="shared" si="35"/>
        <v>0</v>
      </c>
      <c r="S105" s="2"/>
      <c r="T105" s="7">
        <v>0</v>
      </c>
      <c r="U105" s="2"/>
      <c r="V105" s="6">
        <f t="shared" si="36"/>
        <v>0</v>
      </c>
      <c r="W105" s="2"/>
      <c r="X105" s="7">
        <f t="shared" si="37"/>
        <v>0</v>
      </c>
      <c r="Y105" s="2"/>
      <c r="Z105" s="6">
        <f t="shared" si="38"/>
        <v>0</v>
      </c>
    </row>
    <row r="106" spans="1:26" s="28" customFormat="1" outlineLevel="1" collapsed="1" x14ac:dyDescent="0.25">
      <c r="A106" s="29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31"/>
        <v>0</v>
      </c>
      <c r="G106" s="1"/>
      <c r="H106" s="1">
        <f>SUM(OSRRefH22_5x_0)</f>
        <v>26946</v>
      </c>
      <c r="I106" s="1"/>
      <c r="J106" s="5">
        <f t="shared" si="32"/>
        <v>7.4998956260350413E-2</v>
      </c>
      <c r="K106" s="1"/>
      <c r="L106" s="1">
        <f t="shared" si="33"/>
        <v>-26946</v>
      </c>
      <c r="M106" s="1"/>
      <c r="N106" s="5">
        <f t="shared" si="34"/>
        <v>-1</v>
      </c>
      <c r="O106" s="14"/>
      <c r="P106" s="1">
        <f>SUM(OSRRefP22_5x_0)</f>
        <v>0</v>
      </c>
      <c r="Q106" s="1"/>
      <c r="R106" s="5">
        <f t="shared" si="35"/>
        <v>0</v>
      </c>
      <c r="S106" s="1"/>
      <c r="T106" s="1">
        <f>SUM(OSRRefT22_5x_0)</f>
        <v>164173</v>
      </c>
      <c r="U106" s="1"/>
      <c r="V106" s="5">
        <f t="shared" si="36"/>
        <v>7.4999805845556308E-2</v>
      </c>
      <c r="W106" s="1"/>
      <c r="X106" s="1">
        <f t="shared" si="37"/>
        <v>-164173</v>
      </c>
      <c r="Y106" s="1"/>
      <c r="Z106" s="5">
        <f t="shared" si="38"/>
        <v>-1</v>
      </c>
    </row>
    <row r="107" spans="1:26" s="24" customFormat="1" hidden="1" outlineLevel="2" x14ac:dyDescent="0.25">
      <c r="A107" s="27"/>
      <c r="B107" s="11" t="str">
        <f>CONCATENATE("          ", "6382", " - ", "DISCOUNTS/MARK DOWNS")</f>
        <v xml:space="preserve">          6382 - DISCOUNTS/MARK DOWNS</v>
      </c>
      <c r="C107" s="11"/>
      <c r="D107" s="7"/>
      <c r="E107" s="2"/>
      <c r="F107" s="6">
        <f t="shared" si="31"/>
        <v>0</v>
      </c>
      <c r="G107" s="2"/>
      <c r="H107" s="7">
        <v>26946</v>
      </c>
      <c r="I107" s="2"/>
      <c r="J107" s="6">
        <f t="shared" si="32"/>
        <v>7.4998956260350413E-2</v>
      </c>
      <c r="K107" s="2"/>
      <c r="L107" s="7">
        <f t="shared" si="33"/>
        <v>-26946</v>
      </c>
      <c r="M107" s="2"/>
      <c r="N107" s="6">
        <f t="shared" si="34"/>
        <v>-1</v>
      </c>
      <c r="O107" s="11"/>
      <c r="P107" s="7"/>
      <c r="Q107" s="2"/>
      <c r="R107" s="6">
        <f t="shared" si="35"/>
        <v>0</v>
      </c>
      <c r="S107" s="2"/>
      <c r="T107" s="7">
        <v>164173</v>
      </c>
      <c r="U107" s="2"/>
      <c r="V107" s="6">
        <f t="shared" si="36"/>
        <v>7.4999805845556308E-2</v>
      </c>
      <c r="W107" s="2"/>
      <c r="X107" s="7">
        <f t="shared" si="37"/>
        <v>-164173</v>
      </c>
      <c r="Y107" s="2"/>
      <c r="Z107" s="6">
        <f t="shared" si="38"/>
        <v>-1</v>
      </c>
    </row>
    <row r="108" spans="1:26" s="28" customFormat="1" outlineLevel="1" collapsed="1" x14ac:dyDescent="0.25">
      <c r="A108" s="29"/>
      <c r="B108" s="14" t="str">
        <f>CONCATENATE("     ","Employees' Appreciation                           ")</f>
        <v xml:space="preserve">     Employees' Appreciation                           </v>
      </c>
      <c r="C108" s="14"/>
      <c r="D108" s="1">
        <f>SUM(OSRRefD22_6x_0)</f>
        <v>0</v>
      </c>
      <c r="E108" s="1"/>
      <c r="F108" s="5">
        <f t="shared" si="31"/>
        <v>0</v>
      </c>
      <c r="G108" s="1"/>
      <c r="H108" s="1">
        <f>SUM(OSRRefH22_6x_0)</f>
        <v>150</v>
      </c>
      <c r="I108" s="1"/>
      <c r="J108" s="5">
        <f t="shared" si="32"/>
        <v>4.1749585983272335E-4</v>
      </c>
      <c r="K108" s="1"/>
      <c r="L108" s="1">
        <f t="shared" si="33"/>
        <v>-150</v>
      </c>
      <c r="M108" s="1"/>
      <c r="N108" s="5">
        <f t="shared" si="34"/>
        <v>-1</v>
      </c>
      <c r="O108" s="14"/>
      <c r="P108" s="1">
        <f>SUM(OSRRefP22_6x_0)</f>
        <v>0</v>
      </c>
      <c r="Q108" s="1"/>
      <c r="R108" s="5">
        <f t="shared" si="35"/>
        <v>0</v>
      </c>
      <c r="S108" s="1"/>
      <c r="T108" s="1">
        <f>SUM(OSRRefT22_6x_0)</f>
        <v>1200</v>
      </c>
      <c r="U108" s="1"/>
      <c r="V108" s="5">
        <f t="shared" si="36"/>
        <v>5.4820078219114941E-4</v>
      </c>
      <c r="W108" s="1"/>
      <c r="X108" s="1">
        <f t="shared" si="37"/>
        <v>-1200</v>
      </c>
      <c r="Y108" s="1"/>
      <c r="Z108" s="5">
        <f t="shared" si="38"/>
        <v>-1</v>
      </c>
    </row>
    <row r="109" spans="1:26" s="24" customFormat="1" hidden="1" outlineLevel="2" x14ac:dyDescent="0.25">
      <c r="A109" s="27"/>
      <c r="B109" s="11" t="str">
        <f>CONCATENATE("          ", "6277", " - ", "EMPLOYEE APPRECIATION")</f>
        <v xml:space="preserve">          6277 - EMPLOYEE APPRECIATION</v>
      </c>
      <c r="C109" s="11"/>
      <c r="D109" s="7"/>
      <c r="E109" s="2"/>
      <c r="F109" s="6">
        <f t="shared" si="31"/>
        <v>0</v>
      </c>
      <c r="G109" s="2"/>
      <c r="H109" s="7">
        <v>150</v>
      </c>
      <c r="I109" s="2"/>
      <c r="J109" s="6">
        <f t="shared" si="32"/>
        <v>4.1749585983272335E-4</v>
      </c>
      <c r="K109" s="2"/>
      <c r="L109" s="7">
        <f t="shared" si="33"/>
        <v>-150</v>
      </c>
      <c r="M109" s="2"/>
      <c r="N109" s="6">
        <f t="shared" si="34"/>
        <v>-1</v>
      </c>
      <c r="O109" s="11"/>
      <c r="P109" s="7"/>
      <c r="Q109" s="2"/>
      <c r="R109" s="6">
        <f t="shared" si="35"/>
        <v>0</v>
      </c>
      <c r="S109" s="2"/>
      <c r="T109" s="7">
        <v>1200</v>
      </c>
      <c r="U109" s="2"/>
      <c r="V109" s="6">
        <f t="shared" si="36"/>
        <v>5.4820078219114941E-4</v>
      </c>
      <c r="W109" s="2"/>
      <c r="X109" s="7">
        <f t="shared" si="37"/>
        <v>-1200</v>
      </c>
      <c r="Y109" s="2"/>
      <c r="Z109" s="6">
        <f t="shared" si="38"/>
        <v>-1</v>
      </c>
    </row>
    <row r="110" spans="1:26" s="28" customFormat="1" outlineLevel="1" collapsed="1" x14ac:dyDescent="0.25">
      <c r="A110" s="29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SUM(OSRRefD22_7x_0)</f>
        <v>52.110000000000007</v>
      </c>
      <c r="E110" s="1"/>
      <c r="F110" s="5">
        <f t="shared" si="31"/>
        <v>5.2242177934391819E-4</v>
      </c>
      <c r="G110" s="1"/>
      <c r="H110" s="1">
        <f>SUM(OSRRefH22_7x_0)</f>
        <v>10</v>
      </c>
      <c r="I110" s="1"/>
      <c r="J110" s="5">
        <f t="shared" si="32"/>
        <v>2.7833057322181553E-5</v>
      </c>
      <c r="K110" s="1"/>
      <c r="L110" s="1">
        <f t="shared" si="33"/>
        <v>42.110000000000007</v>
      </c>
      <c r="M110" s="1"/>
      <c r="N110" s="5">
        <f t="shared" si="34"/>
        <v>4.2110000000000003</v>
      </c>
      <c r="O110" s="14"/>
      <c r="P110" s="1">
        <f>SUM(OSRRefP22_7x_0)</f>
        <v>286.53000000000003</v>
      </c>
      <c r="Q110" s="1"/>
      <c r="R110" s="5">
        <f t="shared" si="35"/>
        <v>2.5426622935206122E-4</v>
      </c>
      <c r="S110" s="1"/>
      <c r="T110" s="1">
        <f>SUM(OSRRefT22_7x_0)</f>
        <v>80</v>
      </c>
      <c r="U110" s="1"/>
      <c r="V110" s="5">
        <f t="shared" si="36"/>
        <v>3.6546718812743295E-5</v>
      </c>
      <c r="W110" s="1"/>
      <c r="X110" s="1">
        <f t="shared" si="37"/>
        <v>206.53000000000003</v>
      </c>
      <c r="Y110" s="1"/>
      <c r="Z110" s="5">
        <f t="shared" si="38"/>
        <v>2.5816250000000003</v>
      </c>
    </row>
    <row r="111" spans="1:26" s="24" customFormat="1" hidden="1" outlineLevel="2" x14ac:dyDescent="0.25">
      <c r="A111" s="27"/>
      <c r="B111" s="11" t="str">
        <f>CONCATENATE("          ", "6305", " - ", "FREIGHT OUT")</f>
        <v xml:space="preserve">          6305 - FREIGHT OUT</v>
      </c>
      <c r="C111" s="11"/>
      <c r="D111" s="7">
        <v>66.260000000000005</v>
      </c>
      <c r="E111" s="2"/>
      <c r="F111" s="6">
        <f t="shared" si="31"/>
        <v>6.6428069659044359E-4</v>
      </c>
      <c r="G111" s="2"/>
      <c r="H111" s="7"/>
      <c r="I111" s="2"/>
      <c r="J111" s="6">
        <f t="shared" si="32"/>
        <v>0</v>
      </c>
      <c r="K111" s="2"/>
      <c r="L111" s="7">
        <f t="shared" si="33"/>
        <v>66.260000000000005</v>
      </c>
      <c r="M111" s="2"/>
      <c r="N111" s="6">
        <f t="shared" si="34"/>
        <v>0</v>
      </c>
      <c r="O111" s="11"/>
      <c r="P111" s="7">
        <v>306.68</v>
      </c>
      <c r="Q111" s="2"/>
      <c r="R111" s="6">
        <f t="shared" si="35"/>
        <v>2.7214730470697703E-4</v>
      </c>
      <c r="S111" s="2"/>
      <c r="T111" s="7"/>
      <c r="U111" s="2"/>
      <c r="V111" s="6">
        <f t="shared" si="36"/>
        <v>0</v>
      </c>
      <c r="W111" s="2"/>
      <c r="X111" s="7">
        <f t="shared" si="37"/>
        <v>306.68</v>
      </c>
      <c r="Y111" s="2"/>
      <c r="Z111" s="6">
        <f t="shared" si="38"/>
        <v>0</v>
      </c>
    </row>
    <row r="112" spans="1:26" s="24" customFormat="1" hidden="1" outlineLevel="2" x14ac:dyDescent="0.25">
      <c r="A112" s="27"/>
      <c r="B112" s="11" t="str">
        <f>CONCATENATE("          ", "6307", " - ", "POSTAGE")</f>
        <v xml:space="preserve">          6307 - POSTAGE</v>
      </c>
      <c r="C112" s="11"/>
      <c r="D112" s="7">
        <v>-14.15</v>
      </c>
      <c r="E112" s="2"/>
      <c r="F112" s="6">
        <f t="shared" si="31"/>
        <v>-1.4185891724652545E-4</v>
      </c>
      <c r="G112" s="2"/>
      <c r="H112" s="7">
        <v>10</v>
      </c>
      <c r="I112" s="2"/>
      <c r="J112" s="6">
        <f t="shared" si="32"/>
        <v>2.7833057322181553E-5</v>
      </c>
      <c r="K112" s="2"/>
      <c r="L112" s="7">
        <f t="shared" si="33"/>
        <v>-24.15</v>
      </c>
      <c r="M112" s="2"/>
      <c r="N112" s="6">
        <f t="shared" si="34"/>
        <v>-2.415</v>
      </c>
      <c r="O112" s="11"/>
      <c r="P112" s="7">
        <v>-20.149999999999999</v>
      </c>
      <c r="Q112" s="2"/>
      <c r="R112" s="6">
        <f t="shared" si="35"/>
        <v>-1.788107535491583E-5</v>
      </c>
      <c r="S112" s="2"/>
      <c r="T112" s="7">
        <v>80</v>
      </c>
      <c r="U112" s="2"/>
      <c r="V112" s="6">
        <f t="shared" si="36"/>
        <v>3.6546718812743295E-5</v>
      </c>
      <c r="W112" s="2"/>
      <c r="X112" s="7">
        <f t="shared" si="37"/>
        <v>-100.15</v>
      </c>
      <c r="Y112" s="2"/>
      <c r="Z112" s="6">
        <f t="shared" si="38"/>
        <v>-1.2518750000000001</v>
      </c>
    </row>
    <row r="113" spans="1:26" s="28" customFormat="1" outlineLevel="1" collapsed="1" x14ac:dyDescent="0.25">
      <c r="A113" s="29"/>
      <c r="B113" s="14" t="str">
        <f>CONCATENATE("     ","General                                           ")</f>
        <v xml:space="preserve">     General                                           </v>
      </c>
      <c r="C113" s="14"/>
      <c r="D113" s="1">
        <f>SUM(OSRRefD22_8x_0)</f>
        <v>0</v>
      </c>
      <c r="E113" s="1"/>
      <c r="F113" s="5">
        <f t="shared" ref="F113:F124" si="39">IF(D$12=0,0,D113/D$12)</f>
        <v>0</v>
      </c>
      <c r="G113" s="1"/>
      <c r="H113" s="1">
        <f>SUM(OSRRefH22_8x_0)</f>
        <v>0</v>
      </c>
      <c r="I113" s="1"/>
      <c r="J113" s="5">
        <f t="shared" ref="J113:J124" si="40">IF(H$12=0,0,H113/H$12)</f>
        <v>0</v>
      </c>
      <c r="K113" s="1"/>
      <c r="L113" s="1">
        <f t="shared" ref="L113:L124" si="41">+D113-H113</f>
        <v>0</v>
      </c>
      <c r="M113" s="1"/>
      <c r="N113" s="5">
        <f t="shared" ref="N113:N124" si="42">IF(H113=0,0,L113/H113)</f>
        <v>0</v>
      </c>
      <c r="O113" s="14"/>
      <c r="P113" s="1">
        <f>SUM(OSRRefP22_8x_0)</f>
        <v>0</v>
      </c>
      <c r="Q113" s="1"/>
      <c r="R113" s="5">
        <f t="shared" ref="R113:R124" si="43">IF(P$12=0,0,P113/P$12)</f>
        <v>0</v>
      </c>
      <c r="S113" s="1"/>
      <c r="T113" s="1">
        <f>SUM(OSRRefT22_8x_0)</f>
        <v>500</v>
      </c>
      <c r="U113" s="1"/>
      <c r="V113" s="5">
        <f t="shared" ref="V113:V124" si="44">IF(T$12=0,0,T113/T$12)</f>
        <v>2.2841699257964557E-4</v>
      </c>
      <c r="W113" s="1"/>
      <c r="X113" s="1">
        <f t="shared" ref="X113:X124" si="45">+P113-T113</f>
        <v>-500</v>
      </c>
      <c r="Y113" s="1"/>
      <c r="Z113" s="5">
        <f t="shared" ref="Z113:Z124" si="46">IF(T113=0,0,X113/T113)</f>
        <v>-1</v>
      </c>
    </row>
    <row r="114" spans="1:26" s="24" customFormat="1" hidden="1" outlineLevel="2" x14ac:dyDescent="0.25">
      <c r="A114" s="27"/>
      <c r="B114" s="11" t="str">
        <f>CONCATENATE("          ", "6279", " - ", "GENERAL EXPENSE")</f>
        <v xml:space="preserve">          6279 - GENERAL EXPENSE</v>
      </c>
      <c r="C114" s="11"/>
      <c r="D114" s="7"/>
      <c r="E114" s="2"/>
      <c r="F114" s="6">
        <f t="shared" si="39"/>
        <v>0</v>
      </c>
      <c r="G114" s="2"/>
      <c r="H114" s="7">
        <v>0</v>
      </c>
      <c r="I114" s="2"/>
      <c r="J114" s="6">
        <f t="shared" si="40"/>
        <v>0</v>
      </c>
      <c r="K114" s="2"/>
      <c r="L114" s="7">
        <f t="shared" si="41"/>
        <v>0</v>
      </c>
      <c r="M114" s="2"/>
      <c r="N114" s="6">
        <f t="shared" si="42"/>
        <v>0</v>
      </c>
      <c r="O114" s="11"/>
      <c r="P114" s="7"/>
      <c r="Q114" s="2"/>
      <c r="R114" s="6">
        <f t="shared" si="43"/>
        <v>0</v>
      </c>
      <c r="S114" s="2"/>
      <c r="T114" s="7">
        <v>500</v>
      </c>
      <c r="U114" s="2"/>
      <c r="V114" s="6">
        <f t="shared" si="44"/>
        <v>2.2841699257964557E-4</v>
      </c>
      <c r="W114" s="2"/>
      <c r="X114" s="7">
        <f t="shared" si="45"/>
        <v>-500</v>
      </c>
      <c r="Y114" s="2"/>
      <c r="Z114" s="6">
        <f t="shared" si="46"/>
        <v>-1</v>
      </c>
    </row>
    <row r="115" spans="1:26" s="28" customFormat="1" outlineLevel="1" collapsed="1" x14ac:dyDescent="0.25">
      <c r="A115" s="29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SUM(OSRRefD22_9x_0)</f>
        <v>1000</v>
      </c>
      <c r="E115" s="1"/>
      <c r="F115" s="5">
        <f t="shared" si="39"/>
        <v>1.0025365176432894E-2</v>
      </c>
      <c r="G115" s="1"/>
      <c r="H115" s="1">
        <f>SUM(OSRRefH22_9x_0)</f>
        <v>1000</v>
      </c>
      <c r="I115" s="1"/>
      <c r="J115" s="5">
        <f t="shared" si="40"/>
        <v>2.7833057322181557E-3</v>
      </c>
      <c r="K115" s="1"/>
      <c r="L115" s="1">
        <f t="shared" si="41"/>
        <v>0</v>
      </c>
      <c r="M115" s="1"/>
      <c r="N115" s="5">
        <f t="shared" si="42"/>
        <v>0</v>
      </c>
      <c r="O115" s="14"/>
      <c r="P115" s="1">
        <f>SUM(OSRRefP22_9x_0)</f>
        <v>8000</v>
      </c>
      <c r="Q115" s="1"/>
      <c r="R115" s="5">
        <f t="shared" si="43"/>
        <v>7.0991862451278732E-3</v>
      </c>
      <c r="S115" s="1"/>
      <c r="T115" s="1">
        <f>SUM(OSRRefT22_9x_0)</f>
        <v>8000</v>
      </c>
      <c r="U115" s="1"/>
      <c r="V115" s="5">
        <f t="shared" si="44"/>
        <v>3.6546718812743291E-3</v>
      </c>
      <c r="W115" s="1"/>
      <c r="X115" s="1">
        <f t="shared" si="45"/>
        <v>0</v>
      </c>
      <c r="Y115" s="1"/>
      <c r="Z115" s="5">
        <f t="shared" si="46"/>
        <v>0</v>
      </c>
    </row>
    <row r="116" spans="1:26" s="24" customFormat="1" hidden="1" outlineLevel="2" x14ac:dyDescent="0.25">
      <c r="A116" s="27"/>
      <c r="B116" s="11" t="str">
        <f>CONCATENATE("          ", "6408", " - ", "INVENTORY ADJUSTMENT")</f>
        <v xml:space="preserve">          6408 - INVENTORY ADJUSTMENT</v>
      </c>
      <c r="C116" s="11"/>
      <c r="D116" s="7">
        <v>1000</v>
      </c>
      <c r="E116" s="2"/>
      <c r="F116" s="6">
        <f t="shared" si="39"/>
        <v>1.0025365176432894E-2</v>
      </c>
      <c r="G116" s="2"/>
      <c r="H116" s="7">
        <v>1000</v>
      </c>
      <c r="I116" s="2"/>
      <c r="J116" s="6">
        <f t="shared" si="40"/>
        <v>2.7833057322181557E-3</v>
      </c>
      <c r="K116" s="2"/>
      <c r="L116" s="7">
        <f t="shared" si="41"/>
        <v>0</v>
      </c>
      <c r="M116" s="2"/>
      <c r="N116" s="6">
        <f t="shared" si="42"/>
        <v>0</v>
      </c>
      <c r="O116" s="11"/>
      <c r="P116" s="7">
        <v>8000</v>
      </c>
      <c r="Q116" s="2"/>
      <c r="R116" s="6">
        <f t="shared" si="43"/>
        <v>7.0991862451278732E-3</v>
      </c>
      <c r="S116" s="2"/>
      <c r="T116" s="7">
        <v>8000</v>
      </c>
      <c r="U116" s="2"/>
      <c r="V116" s="6">
        <f t="shared" si="44"/>
        <v>3.6546718812743291E-3</v>
      </c>
      <c r="W116" s="2"/>
      <c r="X116" s="7">
        <f t="shared" si="45"/>
        <v>0</v>
      </c>
      <c r="Y116" s="2"/>
      <c r="Z116" s="6">
        <f t="shared" si="46"/>
        <v>0</v>
      </c>
    </row>
    <row r="117" spans="1:26" s="28" customFormat="1" outlineLevel="1" collapsed="1" x14ac:dyDescent="0.25">
      <c r="A117" s="29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SUM(OSRRefD22_10x_0)</f>
        <v>0</v>
      </c>
      <c r="E117" s="1"/>
      <c r="F117" s="5">
        <f t="shared" si="39"/>
        <v>0</v>
      </c>
      <c r="G117" s="1"/>
      <c r="H117" s="1">
        <f>SUM(OSRRefH22_10x_0)</f>
        <v>0</v>
      </c>
      <c r="I117" s="1"/>
      <c r="J117" s="5">
        <f t="shared" si="40"/>
        <v>0</v>
      </c>
      <c r="K117" s="1"/>
      <c r="L117" s="1">
        <f t="shared" si="41"/>
        <v>0</v>
      </c>
      <c r="M117" s="1"/>
      <c r="N117" s="5">
        <f t="shared" si="42"/>
        <v>0</v>
      </c>
      <c r="O117" s="14"/>
      <c r="P117" s="1">
        <f>SUM(OSRRefP22_10x_0)</f>
        <v>0</v>
      </c>
      <c r="Q117" s="1"/>
      <c r="R117" s="5">
        <f t="shared" si="43"/>
        <v>0</v>
      </c>
      <c r="S117" s="1"/>
      <c r="T117" s="1">
        <f>SUM(OSRRefT22_10x_0)</f>
        <v>5500</v>
      </c>
      <c r="U117" s="1"/>
      <c r="V117" s="5">
        <f t="shared" si="44"/>
        <v>2.5125869183761015E-3</v>
      </c>
      <c r="W117" s="1"/>
      <c r="X117" s="1">
        <f t="shared" si="45"/>
        <v>-5500</v>
      </c>
      <c r="Y117" s="1"/>
      <c r="Z117" s="5">
        <f t="shared" si="46"/>
        <v>-1</v>
      </c>
    </row>
    <row r="118" spans="1:26" s="24" customFormat="1" hidden="1" outlineLevel="2" x14ac:dyDescent="0.25">
      <c r="A118" s="27"/>
      <c r="B118" s="11" t="str">
        <f>CONCATENATE("          ", "6336", " - ", "PROFESSIONAL SERVICES")</f>
        <v xml:space="preserve">          6336 - PROFESSIONAL SERVICES</v>
      </c>
      <c r="C118" s="11"/>
      <c r="D118" s="7"/>
      <c r="E118" s="2"/>
      <c r="F118" s="6">
        <f t="shared" si="39"/>
        <v>0</v>
      </c>
      <c r="G118" s="2"/>
      <c r="H118" s="7">
        <v>0</v>
      </c>
      <c r="I118" s="2"/>
      <c r="J118" s="6">
        <f t="shared" si="40"/>
        <v>0</v>
      </c>
      <c r="K118" s="2"/>
      <c r="L118" s="7">
        <f t="shared" si="41"/>
        <v>0</v>
      </c>
      <c r="M118" s="2"/>
      <c r="N118" s="6">
        <f t="shared" si="42"/>
        <v>0</v>
      </c>
      <c r="O118" s="11"/>
      <c r="P118" s="7"/>
      <c r="Q118" s="2"/>
      <c r="R118" s="6">
        <f t="shared" si="43"/>
        <v>0</v>
      </c>
      <c r="S118" s="2"/>
      <c r="T118" s="7">
        <v>5500</v>
      </c>
      <c r="U118" s="2"/>
      <c r="V118" s="6">
        <f t="shared" si="44"/>
        <v>2.5125869183761015E-3</v>
      </c>
      <c r="W118" s="2"/>
      <c r="X118" s="7">
        <f t="shared" si="45"/>
        <v>-5500</v>
      </c>
      <c r="Y118" s="2"/>
      <c r="Z118" s="6">
        <f t="shared" si="46"/>
        <v>-1</v>
      </c>
    </row>
    <row r="119" spans="1:26" s="28" customFormat="1" outlineLevel="1" collapsed="1" x14ac:dyDescent="0.25">
      <c r="A119" s="29"/>
      <c r="B119" s="14" t="str">
        <f>CONCATENATE("     ","Repair and Maintenance                            ")</f>
        <v xml:space="preserve">     Repair and Maintenance                            </v>
      </c>
      <c r="C119" s="14"/>
      <c r="D119" s="1">
        <f>SUM(OSRRefD22_11x_0)</f>
        <v>0</v>
      </c>
      <c r="E119" s="1"/>
      <c r="F119" s="5">
        <f t="shared" si="39"/>
        <v>0</v>
      </c>
      <c r="G119" s="1"/>
      <c r="H119" s="1">
        <f>SUM(OSRRefH22_11x_0)</f>
        <v>300</v>
      </c>
      <c r="I119" s="1"/>
      <c r="J119" s="5">
        <f t="shared" si="40"/>
        <v>8.3499171966544669E-4</v>
      </c>
      <c r="K119" s="1"/>
      <c r="L119" s="1">
        <f t="shared" si="41"/>
        <v>-300</v>
      </c>
      <c r="M119" s="1"/>
      <c r="N119" s="5">
        <f t="shared" si="42"/>
        <v>-1</v>
      </c>
      <c r="O119" s="14"/>
      <c r="P119" s="1">
        <f>SUM(OSRRefP22_11x_0)</f>
        <v>0</v>
      </c>
      <c r="Q119" s="1"/>
      <c r="R119" s="5">
        <f t="shared" si="43"/>
        <v>0</v>
      </c>
      <c r="S119" s="1"/>
      <c r="T119" s="1">
        <f>SUM(OSRRefT22_11x_0)</f>
        <v>1150</v>
      </c>
      <c r="U119" s="1"/>
      <c r="V119" s="5">
        <f t="shared" si="44"/>
        <v>5.2535908293318482E-4</v>
      </c>
      <c r="W119" s="1"/>
      <c r="X119" s="1">
        <f t="shared" si="45"/>
        <v>-1150</v>
      </c>
      <c r="Y119" s="1"/>
      <c r="Z119" s="5">
        <f t="shared" si="46"/>
        <v>-1</v>
      </c>
    </row>
    <row r="120" spans="1:26" s="24" customFormat="1" hidden="1" outlineLevel="2" x14ac:dyDescent="0.25">
      <c r="A120" s="27"/>
      <c r="B120" s="11" t="str">
        <f>CONCATENATE("          ", "6375", " - ", "OUTSIDE REPAIRS &amp; MAINTENANCE")</f>
        <v xml:space="preserve">          6375 - OUTSIDE REPAIRS &amp; MAINTENANCE</v>
      </c>
      <c r="C120" s="11"/>
      <c r="D120" s="7"/>
      <c r="E120" s="2"/>
      <c r="F120" s="6">
        <f t="shared" si="39"/>
        <v>0</v>
      </c>
      <c r="G120" s="2"/>
      <c r="H120" s="7">
        <v>300</v>
      </c>
      <c r="I120" s="2"/>
      <c r="J120" s="6">
        <f t="shared" si="40"/>
        <v>8.3499171966544669E-4</v>
      </c>
      <c r="K120" s="2"/>
      <c r="L120" s="7">
        <f t="shared" si="41"/>
        <v>-300</v>
      </c>
      <c r="M120" s="2"/>
      <c r="N120" s="6">
        <f t="shared" si="42"/>
        <v>-1</v>
      </c>
      <c r="O120" s="11"/>
      <c r="P120" s="7"/>
      <c r="Q120" s="2"/>
      <c r="R120" s="6">
        <f t="shared" si="43"/>
        <v>0</v>
      </c>
      <c r="S120" s="2"/>
      <c r="T120" s="7">
        <v>1150</v>
      </c>
      <c r="U120" s="2"/>
      <c r="V120" s="6">
        <f t="shared" si="44"/>
        <v>5.2535908293318482E-4</v>
      </c>
      <c r="W120" s="2"/>
      <c r="X120" s="7">
        <f t="shared" si="45"/>
        <v>-1150</v>
      </c>
      <c r="Y120" s="2"/>
      <c r="Z120" s="6">
        <f t="shared" si="46"/>
        <v>-1</v>
      </c>
    </row>
    <row r="121" spans="1:26" s="28" customFormat="1" outlineLevel="1" collapsed="1" x14ac:dyDescent="0.25">
      <c r="A121" s="29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SUM(OSRRefD22_12x_0)</f>
        <v>0</v>
      </c>
      <c r="E121" s="1"/>
      <c r="F121" s="5">
        <f t="shared" si="39"/>
        <v>0</v>
      </c>
      <c r="G121" s="1"/>
      <c r="H121" s="1">
        <f>SUM(OSRRefH22_12x_0)</f>
        <v>6271</v>
      </c>
      <c r="I121" s="1"/>
      <c r="J121" s="5">
        <f t="shared" si="40"/>
        <v>1.7454110246740054E-2</v>
      </c>
      <c r="K121" s="1"/>
      <c r="L121" s="1">
        <f t="shared" si="41"/>
        <v>-6271</v>
      </c>
      <c r="M121" s="1"/>
      <c r="N121" s="5">
        <f t="shared" si="42"/>
        <v>-1</v>
      </c>
      <c r="O121" s="14"/>
      <c r="P121" s="1">
        <f>SUM(OSRRefP22_12x_0)</f>
        <v>26197.58</v>
      </c>
      <c r="Q121" s="1"/>
      <c r="R121" s="5">
        <f t="shared" si="43"/>
        <v>2.3247687448954633E-2</v>
      </c>
      <c r="S121" s="1"/>
      <c r="T121" s="1">
        <f>SUM(OSRRefT22_12x_0)</f>
        <v>50168</v>
      </c>
      <c r="U121" s="1"/>
      <c r="V121" s="5">
        <f t="shared" si="44"/>
        <v>2.2918447367471319E-2</v>
      </c>
      <c r="W121" s="1"/>
      <c r="X121" s="1">
        <f t="shared" si="45"/>
        <v>-23970.42</v>
      </c>
      <c r="Y121" s="1"/>
      <c r="Z121" s="5">
        <f t="shared" si="46"/>
        <v>-0.47780298198054533</v>
      </c>
    </row>
    <row r="122" spans="1:26" s="24" customFormat="1" hidden="1" outlineLevel="2" x14ac:dyDescent="0.25">
      <c r="A122" s="27"/>
      <c r="B122" s="11" t="str">
        <f>CONCATENATE("          ", "6252", " - ", "ROYALTY DUE CSTV")</f>
        <v xml:space="preserve">          6252 - ROYALTY DUE CSTV</v>
      </c>
      <c r="C122" s="11"/>
      <c r="D122" s="7"/>
      <c r="E122" s="2"/>
      <c r="F122" s="6">
        <f t="shared" si="39"/>
        <v>0</v>
      </c>
      <c r="G122" s="2"/>
      <c r="H122" s="7">
        <v>1085</v>
      </c>
      <c r="I122" s="2"/>
      <c r="J122" s="6">
        <f t="shared" si="40"/>
        <v>3.0198867194566989E-3</v>
      </c>
      <c r="K122" s="2"/>
      <c r="L122" s="7">
        <f t="shared" si="41"/>
        <v>-1085</v>
      </c>
      <c r="M122" s="2"/>
      <c r="N122" s="6">
        <f t="shared" si="42"/>
        <v>-1</v>
      </c>
      <c r="O122" s="11"/>
      <c r="P122" s="7"/>
      <c r="Q122" s="2"/>
      <c r="R122" s="6">
        <f t="shared" si="43"/>
        <v>0</v>
      </c>
      <c r="S122" s="2"/>
      <c r="T122" s="7">
        <v>8680</v>
      </c>
      <c r="U122" s="2"/>
      <c r="V122" s="6">
        <f t="shared" si="44"/>
        <v>3.965318991182647E-3</v>
      </c>
      <c r="W122" s="2"/>
      <c r="X122" s="7">
        <f t="shared" si="45"/>
        <v>-8680</v>
      </c>
      <c r="Y122" s="2"/>
      <c r="Z122" s="6">
        <f t="shared" si="46"/>
        <v>-1</v>
      </c>
    </row>
    <row r="123" spans="1:26" s="24" customFormat="1" hidden="1" outlineLevel="2" x14ac:dyDescent="0.25">
      <c r="A123" s="27"/>
      <c r="B123" s="11" t="str">
        <f>CONCATENATE("          ", "6253", " - ", "ROYALTY DUE ATHLETICS-LRG")</f>
        <v xml:space="preserve">          6253 - ROYALTY DUE ATHLETICS-LRG</v>
      </c>
      <c r="C123" s="11"/>
      <c r="D123" s="7"/>
      <c r="E123" s="2"/>
      <c r="F123" s="6">
        <f t="shared" si="39"/>
        <v>0</v>
      </c>
      <c r="G123" s="2"/>
      <c r="H123" s="7">
        <v>4037</v>
      </c>
      <c r="I123" s="2"/>
      <c r="J123" s="6">
        <f t="shared" si="40"/>
        <v>1.1236205240964693E-2</v>
      </c>
      <c r="K123" s="2"/>
      <c r="L123" s="7">
        <f t="shared" si="41"/>
        <v>-4037</v>
      </c>
      <c r="M123" s="2"/>
      <c r="N123" s="6">
        <f t="shared" si="42"/>
        <v>-1</v>
      </c>
      <c r="O123" s="11"/>
      <c r="P123" s="7">
        <v>26197.58</v>
      </c>
      <c r="Q123" s="2"/>
      <c r="R123" s="6">
        <f t="shared" si="43"/>
        <v>2.3247687448954633E-2</v>
      </c>
      <c r="S123" s="2"/>
      <c r="T123" s="7">
        <v>32296</v>
      </c>
      <c r="U123" s="2"/>
      <c r="V123" s="6">
        <f t="shared" si="44"/>
        <v>1.4753910384704466E-2</v>
      </c>
      <c r="W123" s="2"/>
      <c r="X123" s="7">
        <f t="shared" si="45"/>
        <v>-6098.4199999999983</v>
      </c>
      <c r="Y123" s="2"/>
      <c r="Z123" s="6">
        <f t="shared" si="46"/>
        <v>-0.18882895714639578</v>
      </c>
    </row>
    <row r="124" spans="1:26" s="24" customFormat="1" hidden="1" outlineLevel="2" x14ac:dyDescent="0.25">
      <c r="A124" s="27"/>
      <c r="B124" s="11" t="str">
        <f>CONCATENATE("          ", "6254", " - ", "ROYALTY &amp; COMMISSIONS")</f>
        <v xml:space="preserve">          6254 - ROYALTY &amp; COMMISSIONS</v>
      </c>
      <c r="C124" s="11"/>
      <c r="D124" s="7"/>
      <c r="E124" s="2"/>
      <c r="F124" s="6">
        <f t="shared" si="39"/>
        <v>0</v>
      </c>
      <c r="G124" s="2"/>
      <c r="H124" s="7">
        <v>1149</v>
      </c>
      <c r="I124" s="2"/>
      <c r="J124" s="6">
        <f t="shared" si="40"/>
        <v>3.1980182863186606E-3</v>
      </c>
      <c r="K124" s="2"/>
      <c r="L124" s="7">
        <f t="shared" si="41"/>
        <v>-1149</v>
      </c>
      <c r="M124" s="2"/>
      <c r="N124" s="6">
        <f t="shared" si="42"/>
        <v>-1</v>
      </c>
      <c r="O124" s="11"/>
      <c r="P124" s="7"/>
      <c r="Q124" s="2"/>
      <c r="R124" s="6">
        <f t="shared" si="43"/>
        <v>0</v>
      </c>
      <c r="S124" s="2"/>
      <c r="T124" s="7">
        <v>9192</v>
      </c>
      <c r="U124" s="2"/>
      <c r="V124" s="6">
        <f t="shared" si="44"/>
        <v>4.1992179915842044E-3</v>
      </c>
      <c r="W124" s="2"/>
      <c r="X124" s="7">
        <f t="shared" si="45"/>
        <v>-9192</v>
      </c>
      <c r="Y124" s="2"/>
      <c r="Z124" s="6">
        <f t="shared" si="46"/>
        <v>-1</v>
      </c>
    </row>
    <row r="125" spans="1:26" s="28" customFormat="1" outlineLevel="1" collapsed="1" x14ac:dyDescent="0.25">
      <c r="A125" s="29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SUM(OSRRefD22_13x_0)</f>
        <v>0</v>
      </c>
      <c r="E125" s="1"/>
      <c r="F125" s="5">
        <f t="shared" ref="F125:F127" si="47">IF(D$12=0,0,D125/D$12)</f>
        <v>0</v>
      </c>
      <c r="G125" s="1"/>
      <c r="H125" s="1">
        <f>SUM(OSRRefH22_13x_0)</f>
        <v>0</v>
      </c>
      <c r="I125" s="1"/>
      <c r="J125" s="5">
        <f t="shared" ref="J125:J127" si="48">IF(H$12=0,0,H125/H$12)</f>
        <v>0</v>
      </c>
      <c r="K125" s="1"/>
      <c r="L125" s="1">
        <f t="shared" ref="L125:L127" si="49">+D125-H125</f>
        <v>0</v>
      </c>
      <c r="M125" s="1"/>
      <c r="N125" s="5">
        <f t="shared" ref="N125:N127" si="50">IF(H125=0,0,L125/H125)</f>
        <v>0</v>
      </c>
      <c r="O125" s="14"/>
      <c r="P125" s="1">
        <f>SUM(OSRRefP22_13x_0)</f>
        <v>-231.57</v>
      </c>
      <c r="Q125" s="1"/>
      <c r="R125" s="5">
        <f t="shared" ref="R125:R127" si="51">IF(P$12=0,0,P125/P$12)</f>
        <v>-2.0549481984803269E-4</v>
      </c>
      <c r="S125" s="1"/>
      <c r="T125" s="1">
        <f>SUM(OSRRefT22_13x_0)</f>
        <v>1000</v>
      </c>
      <c r="U125" s="1"/>
      <c r="V125" s="5">
        <f t="shared" ref="V125:V127" si="52">IF(T$12=0,0,T125/T$12)</f>
        <v>4.5683398515929114E-4</v>
      </c>
      <c r="W125" s="1"/>
      <c r="X125" s="1">
        <f t="shared" ref="X125:X127" si="53">+P125-T125</f>
        <v>-1231.57</v>
      </c>
      <c r="Y125" s="1"/>
      <c r="Z125" s="5">
        <f t="shared" ref="Z125:Z127" si="54">IF(T125=0,0,X125/T125)</f>
        <v>-1.2315699999999998</v>
      </c>
    </row>
    <row r="126" spans="1:26" s="24" customFormat="1" hidden="1" outlineLevel="2" x14ac:dyDescent="0.25">
      <c r="A126" s="27"/>
      <c r="B126" s="11" t="str">
        <f>CONCATENATE("          ", "6258", " - ", "MEMBERSHIP DUES")</f>
        <v xml:space="preserve">          6258 - MEMBERSHIP DUES</v>
      </c>
      <c r="C126" s="11"/>
      <c r="D126" s="7"/>
      <c r="E126" s="2"/>
      <c r="F126" s="6">
        <f t="shared" si="47"/>
        <v>0</v>
      </c>
      <c r="G126" s="2"/>
      <c r="H126" s="7">
        <v>0</v>
      </c>
      <c r="I126" s="2"/>
      <c r="J126" s="6">
        <f t="shared" si="48"/>
        <v>0</v>
      </c>
      <c r="K126" s="2"/>
      <c r="L126" s="7">
        <f t="shared" si="49"/>
        <v>0</v>
      </c>
      <c r="M126" s="2"/>
      <c r="N126" s="6">
        <f t="shared" si="50"/>
        <v>0</v>
      </c>
      <c r="O126" s="11"/>
      <c r="P126" s="7">
        <v>-307.3</v>
      </c>
      <c r="Q126" s="2"/>
      <c r="R126" s="6">
        <f t="shared" si="51"/>
        <v>-2.7269749164097443E-4</v>
      </c>
      <c r="S126" s="2"/>
      <c r="T126" s="7">
        <v>1000</v>
      </c>
      <c r="U126" s="2"/>
      <c r="V126" s="6">
        <f t="shared" si="52"/>
        <v>4.5683398515929114E-4</v>
      </c>
      <c r="W126" s="2"/>
      <c r="X126" s="7">
        <f t="shared" si="53"/>
        <v>-1307.3</v>
      </c>
      <c r="Y126" s="2"/>
      <c r="Z126" s="6">
        <f t="shared" si="54"/>
        <v>-1.3072999999999999</v>
      </c>
    </row>
    <row r="127" spans="1:26" s="24" customFormat="1" hidden="1" outlineLevel="2" x14ac:dyDescent="0.25">
      <c r="A127" s="27"/>
      <c r="B127" s="11" t="str">
        <f>CONCATENATE("          ", "6275", " - ", "SUBSCRIPTIONS")</f>
        <v xml:space="preserve">          6275 - SUBSCRIPTIONS</v>
      </c>
      <c r="C127" s="11"/>
      <c r="D127" s="7"/>
      <c r="E127" s="2"/>
      <c r="F127" s="6">
        <f t="shared" si="47"/>
        <v>0</v>
      </c>
      <c r="G127" s="2"/>
      <c r="H127" s="7">
        <v>0</v>
      </c>
      <c r="I127" s="2"/>
      <c r="J127" s="6">
        <f t="shared" si="48"/>
        <v>0</v>
      </c>
      <c r="K127" s="2"/>
      <c r="L127" s="7">
        <f t="shared" si="49"/>
        <v>0</v>
      </c>
      <c r="M127" s="2"/>
      <c r="N127" s="6">
        <f t="shared" si="50"/>
        <v>0</v>
      </c>
      <c r="O127" s="11"/>
      <c r="P127" s="7">
        <v>75.73</v>
      </c>
      <c r="Q127" s="2"/>
      <c r="R127" s="6">
        <f t="shared" si="51"/>
        <v>6.7202671792941735E-5</v>
      </c>
      <c r="S127" s="2"/>
      <c r="T127" s="7">
        <v>0</v>
      </c>
      <c r="U127" s="2"/>
      <c r="V127" s="6">
        <f t="shared" si="52"/>
        <v>0</v>
      </c>
      <c r="W127" s="2"/>
      <c r="X127" s="7">
        <f t="shared" si="53"/>
        <v>75.73</v>
      </c>
      <c r="Y127" s="2"/>
      <c r="Z127" s="6">
        <f t="shared" si="54"/>
        <v>0</v>
      </c>
    </row>
    <row r="128" spans="1:26" s="28" customFormat="1" outlineLevel="1" collapsed="1" x14ac:dyDescent="0.25">
      <c r="A128" s="29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SUM(OSRRefD22_14x_0)</f>
        <v>65.67</v>
      </c>
      <c r="E128" s="1"/>
      <c r="F128" s="5">
        <f t="shared" ref="F128:F135" si="55">IF(D$12=0,0,D128/D$12)</f>
        <v>6.5836573113634814E-4</v>
      </c>
      <c r="G128" s="1"/>
      <c r="H128" s="1">
        <f>SUM(OSRRefH22_14x_0)</f>
        <v>450</v>
      </c>
      <c r="I128" s="1"/>
      <c r="J128" s="5">
        <f t="shared" ref="J128:J135" si="56">IF(H$12=0,0,H128/H$12)</f>
        <v>1.25248757949817E-3</v>
      </c>
      <c r="K128" s="1"/>
      <c r="L128" s="1">
        <f t="shared" ref="L128:L135" si="57">+D128-H128</f>
        <v>-384.33</v>
      </c>
      <c r="M128" s="1"/>
      <c r="N128" s="5">
        <f t="shared" ref="N128:N135" si="58">IF(H128=0,0,L128/H128)</f>
        <v>-0.85406666666666664</v>
      </c>
      <c r="O128" s="14"/>
      <c r="P128" s="1">
        <f>SUM(OSRRefP22_14x_0)</f>
        <v>3363.61</v>
      </c>
      <c r="Q128" s="1"/>
      <c r="R128" s="5">
        <f t="shared" ref="R128:R135" si="59">IF(P$12=0,0,P128/P$12)</f>
        <v>2.9848617307468208E-3</v>
      </c>
      <c r="S128" s="1"/>
      <c r="T128" s="1">
        <f>SUM(OSRRefT22_14x_0)</f>
        <v>3600</v>
      </c>
      <c r="U128" s="1"/>
      <c r="V128" s="5">
        <f t="shared" ref="V128:V135" si="60">IF(T$12=0,0,T128/T$12)</f>
        <v>1.6446023465734481E-3</v>
      </c>
      <c r="W128" s="1"/>
      <c r="X128" s="1">
        <f t="shared" ref="X128:X135" si="61">+P128-T128</f>
        <v>-236.38999999999987</v>
      </c>
      <c r="Y128" s="1"/>
      <c r="Z128" s="5">
        <f t="shared" ref="Z128:Z135" si="62">IF(T128=0,0,X128/T128)</f>
        <v>-6.5663888888888855E-2</v>
      </c>
    </row>
    <row r="129" spans="1:26" s="24" customFormat="1" hidden="1" outlineLevel="2" x14ac:dyDescent="0.25">
      <c r="A129" s="27"/>
      <c r="B129" s="11" t="str">
        <f>CONCATENATE("          ", "6234", " - ", "EXPENDABLE SUPPLIES &amp; EQUIPMEN")</f>
        <v xml:space="preserve">          6234 - EXPENDABLE SUPPLIES &amp; EQUIPMEN</v>
      </c>
      <c r="C129" s="11"/>
      <c r="D129" s="7"/>
      <c r="E129" s="2"/>
      <c r="F129" s="6">
        <f t="shared" si="55"/>
        <v>0</v>
      </c>
      <c r="G129" s="2"/>
      <c r="H129" s="7">
        <v>50</v>
      </c>
      <c r="I129" s="2"/>
      <c r="J129" s="6">
        <f t="shared" si="56"/>
        <v>1.3916528661090776E-4</v>
      </c>
      <c r="K129" s="2"/>
      <c r="L129" s="7">
        <f t="shared" si="57"/>
        <v>-50</v>
      </c>
      <c r="M129" s="2"/>
      <c r="N129" s="6">
        <f t="shared" si="58"/>
        <v>-1</v>
      </c>
      <c r="O129" s="11"/>
      <c r="P129" s="7">
        <v>396.5</v>
      </c>
      <c r="Q129" s="2"/>
      <c r="R129" s="6">
        <f t="shared" si="59"/>
        <v>3.5185341827415019E-4</v>
      </c>
      <c r="S129" s="2"/>
      <c r="T129" s="7">
        <v>400</v>
      </c>
      <c r="U129" s="2"/>
      <c r="V129" s="6">
        <f t="shared" si="60"/>
        <v>1.8273359406371646E-4</v>
      </c>
      <c r="W129" s="2"/>
      <c r="X129" s="7">
        <f t="shared" si="61"/>
        <v>-3.5</v>
      </c>
      <c r="Y129" s="2"/>
      <c r="Z129" s="6">
        <f t="shared" si="62"/>
        <v>-8.7500000000000008E-3</v>
      </c>
    </row>
    <row r="130" spans="1:26" s="24" customFormat="1" hidden="1" outlineLevel="2" x14ac:dyDescent="0.25">
      <c r="A130" s="27"/>
      <c r="B130" s="11" t="str">
        <f>CONCATENATE("          ", "6235", " - ", "COVID-19 EXPENSES")</f>
        <v xml:space="preserve">          6235 - COVID-19 EXPENSES</v>
      </c>
      <c r="C130" s="11"/>
      <c r="D130" s="7"/>
      <c r="E130" s="2"/>
      <c r="F130" s="6">
        <f t="shared" si="55"/>
        <v>0</v>
      </c>
      <c r="G130" s="2"/>
      <c r="H130" s="7">
        <v>100</v>
      </c>
      <c r="I130" s="2"/>
      <c r="J130" s="6">
        <f t="shared" si="56"/>
        <v>2.7833057322181553E-4</v>
      </c>
      <c r="K130" s="2"/>
      <c r="L130" s="7">
        <f t="shared" si="57"/>
        <v>-100</v>
      </c>
      <c r="M130" s="2"/>
      <c r="N130" s="6">
        <f t="shared" si="58"/>
        <v>-1</v>
      </c>
      <c r="O130" s="11"/>
      <c r="P130" s="7">
        <v>1026.43</v>
      </c>
      <c r="Q130" s="2"/>
      <c r="R130" s="6">
        <f t="shared" si="59"/>
        <v>9.1085221719832538E-4</v>
      </c>
      <c r="S130" s="2"/>
      <c r="T130" s="7">
        <v>800</v>
      </c>
      <c r="U130" s="2"/>
      <c r="V130" s="6">
        <f t="shared" si="60"/>
        <v>3.6546718812743292E-4</v>
      </c>
      <c r="W130" s="2"/>
      <c r="X130" s="7">
        <f t="shared" si="61"/>
        <v>226.43000000000006</v>
      </c>
      <c r="Y130" s="2"/>
      <c r="Z130" s="6">
        <f t="shared" si="62"/>
        <v>0.28303750000000005</v>
      </c>
    </row>
    <row r="131" spans="1:26" s="24" customFormat="1" hidden="1" outlineLevel="2" x14ac:dyDescent="0.25">
      <c r="A131" s="27"/>
      <c r="B131" s="11" t="str">
        <f>CONCATENATE("          ", "6237", " - ", "JANITORIAL SUPPLIES")</f>
        <v xml:space="preserve">          6237 - JANITORIAL SUPPLIES</v>
      </c>
      <c r="C131" s="11"/>
      <c r="D131" s="7"/>
      <c r="E131" s="2"/>
      <c r="F131" s="6">
        <f t="shared" si="55"/>
        <v>0</v>
      </c>
      <c r="G131" s="2"/>
      <c r="H131" s="7">
        <v>50</v>
      </c>
      <c r="I131" s="2"/>
      <c r="J131" s="6">
        <f t="shared" si="56"/>
        <v>1.3916528661090776E-4</v>
      </c>
      <c r="K131" s="2"/>
      <c r="L131" s="7">
        <f t="shared" si="57"/>
        <v>-50</v>
      </c>
      <c r="M131" s="2"/>
      <c r="N131" s="6">
        <f t="shared" si="58"/>
        <v>-1</v>
      </c>
      <c r="O131" s="11"/>
      <c r="P131" s="7"/>
      <c r="Q131" s="2"/>
      <c r="R131" s="6">
        <f t="shared" si="59"/>
        <v>0</v>
      </c>
      <c r="S131" s="2"/>
      <c r="T131" s="7">
        <v>400</v>
      </c>
      <c r="U131" s="2"/>
      <c r="V131" s="6">
        <f t="shared" si="60"/>
        <v>1.8273359406371646E-4</v>
      </c>
      <c r="W131" s="2"/>
      <c r="X131" s="7">
        <f t="shared" si="61"/>
        <v>-400</v>
      </c>
      <c r="Y131" s="2"/>
      <c r="Z131" s="6">
        <f t="shared" si="62"/>
        <v>-1</v>
      </c>
    </row>
    <row r="132" spans="1:26" s="24" customFormat="1" hidden="1" outlineLevel="2" x14ac:dyDescent="0.25">
      <c r="A132" s="27"/>
      <c r="B132" s="11" t="str">
        <f>CONCATENATE("          ", "6241", " - ", "OFFICE EXPENSE")</f>
        <v xml:space="preserve">          6241 - OFFICE EXPENSE</v>
      </c>
      <c r="C132" s="11"/>
      <c r="D132" s="7">
        <v>22.01</v>
      </c>
      <c r="E132" s="2"/>
      <c r="F132" s="6">
        <f t="shared" si="55"/>
        <v>2.2065828753328802E-4</v>
      </c>
      <c r="G132" s="2"/>
      <c r="H132" s="7">
        <v>100</v>
      </c>
      <c r="I132" s="2"/>
      <c r="J132" s="6">
        <f t="shared" si="56"/>
        <v>2.7833057322181553E-4</v>
      </c>
      <c r="K132" s="2"/>
      <c r="L132" s="7">
        <f t="shared" si="57"/>
        <v>-77.989999999999995</v>
      </c>
      <c r="M132" s="2"/>
      <c r="N132" s="6">
        <f t="shared" si="58"/>
        <v>-0.77989999999999993</v>
      </c>
      <c r="O132" s="11"/>
      <c r="P132" s="7">
        <v>830.45</v>
      </c>
      <c r="Q132" s="2"/>
      <c r="R132" s="6">
        <f t="shared" si="59"/>
        <v>7.3693990215830535E-4</v>
      </c>
      <c r="S132" s="2"/>
      <c r="T132" s="7">
        <v>800</v>
      </c>
      <c r="U132" s="2"/>
      <c r="V132" s="6">
        <f t="shared" si="60"/>
        <v>3.6546718812743292E-4</v>
      </c>
      <c r="W132" s="2"/>
      <c r="X132" s="7">
        <f t="shared" si="61"/>
        <v>30.450000000000045</v>
      </c>
      <c r="Y132" s="2"/>
      <c r="Z132" s="6">
        <f t="shared" si="62"/>
        <v>3.8062500000000055E-2</v>
      </c>
    </row>
    <row r="133" spans="1:26" s="24" customFormat="1" hidden="1" outlineLevel="2" x14ac:dyDescent="0.25">
      <c r="A133" s="27"/>
      <c r="B133" s="11" t="str">
        <f>CONCATENATE("          ", "6243", " - ", "PAPER SUPPLIES")</f>
        <v xml:space="preserve">          6243 - PAPER SUPPLIES</v>
      </c>
      <c r="C133" s="11"/>
      <c r="D133" s="7"/>
      <c r="E133" s="2"/>
      <c r="F133" s="6">
        <f t="shared" si="55"/>
        <v>0</v>
      </c>
      <c r="G133" s="2"/>
      <c r="H133" s="7">
        <v>50</v>
      </c>
      <c r="I133" s="2"/>
      <c r="J133" s="6">
        <f t="shared" si="56"/>
        <v>1.3916528661090776E-4</v>
      </c>
      <c r="K133" s="2"/>
      <c r="L133" s="7">
        <f t="shared" si="57"/>
        <v>-50</v>
      </c>
      <c r="M133" s="2"/>
      <c r="N133" s="6">
        <f t="shared" si="58"/>
        <v>-1</v>
      </c>
      <c r="O133" s="11"/>
      <c r="P133" s="7"/>
      <c r="Q133" s="2"/>
      <c r="R133" s="6">
        <f t="shared" si="59"/>
        <v>0</v>
      </c>
      <c r="S133" s="2"/>
      <c r="T133" s="7">
        <v>400</v>
      </c>
      <c r="U133" s="2"/>
      <c r="V133" s="6">
        <f t="shared" si="60"/>
        <v>1.8273359406371646E-4</v>
      </c>
      <c r="W133" s="2"/>
      <c r="X133" s="7">
        <f t="shared" si="61"/>
        <v>-400</v>
      </c>
      <c r="Y133" s="2"/>
      <c r="Z133" s="6">
        <f t="shared" si="62"/>
        <v>-1</v>
      </c>
    </row>
    <row r="134" spans="1:26" s="24" customFormat="1" hidden="1" outlineLevel="2" x14ac:dyDescent="0.25">
      <c r="A134" s="27"/>
      <c r="B134" s="11" t="str">
        <f>CONCATENATE("          ", "6245", " - ", "PRINTING")</f>
        <v xml:space="preserve">          6245 - PRINTING</v>
      </c>
      <c r="C134" s="11"/>
      <c r="D134" s="7"/>
      <c r="E134" s="2"/>
      <c r="F134" s="6">
        <f t="shared" si="55"/>
        <v>0</v>
      </c>
      <c r="G134" s="2"/>
      <c r="H134" s="7">
        <v>50</v>
      </c>
      <c r="I134" s="2"/>
      <c r="J134" s="6">
        <f t="shared" si="56"/>
        <v>1.3916528661090776E-4</v>
      </c>
      <c r="K134" s="2"/>
      <c r="L134" s="7">
        <f t="shared" si="57"/>
        <v>-50</v>
      </c>
      <c r="M134" s="2"/>
      <c r="N134" s="6">
        <f t="shared" si="58"/>
        <v>-1</v>
      </c>
      <c r="O134" s="11"/>
      <c r="P134" s="7"/>
      <c r="Q134" s="2"/>
      <c r="R134" s="6">
        <f t="shared" si="59"/>
        <v>0</v>
      </c>
      <c r="S134" s="2"/>
      <c r="T134" s="7">
        <v>400</v>
      </c>
      <c r="U134" s="2"/>
      <c r="V134" s="6">
        <f t="shared" si="60"/>
        <v>1.8273359406371646E-4</v>
      </c>
      <c r="W134" s="2"/>
      <c r="X134" s="7">
        <f t="shared" si="61"/>
        <v>-400</v>
      </c>
      <c r="Y134" s="2"/>
      <c r="Z134" s="6">
        <f t="shared" si="62"/>
        <v>-1</v>
      </c>
    </row>
    <row r="135" spans="1:26" s="24" customFormat="1" hidden="1" outlineLevel="2" x14ac:dyDescent="0.25">
      <c r="A135" s="27"/>
      <c r="B135" s="11" t="str">
        <f>CONCATENATE("          ", "6247", " - ", "STORE SUPPLIES")</f>
        <v xml:space="preserve">          6247 - STORE SUPPLIES</v>
      </c>
      <c r="C135" s="11"/>
      <c r="D135" s="7">
        <v>43.66</v>
      </c>
      <c r="E135" s="2"/>
      <c r="F135" s="6">
        <f t="shared" si="55"/>
        <v>4.3770744360306012E-4</v>
      </c>
      <c r="G135" s="2"/>
      <c r="H135" s="7">
        <v>50</v>
      </c>
      <c r="I135" s="2"/>
      <c r="J135" s="6">
        <f t="shared" si="56"/>
        <v>1.3916528661090776E-4</v>
      </c>
      <c r="K135" s="2"/>
      <c r="L135" s="7">
        <f t="shared" si="57"/>
        <v>-6.3400000000000034</v>
      </c>
      <c r="M135" s="2"/>
      <c r="N135" s="6">
        <f t="shared" si="58"/>
        <v>-0.12680000000000008</v>
      </c>
      <c r="O135" s="11"/>
      <c r="P135" s="7">
        <v>1110.23</v>
      </c>
      <c r="Q135" s="2"/>
      <c r="R135" s="6">
        <f t="shared" si="59"/>
        <v>9.8521619311603978E-4</v>
      </c>
      <c r="S135" s="2"/>
      <c r="T135" s="7">
        <v>400</v>
      </c>
      <c r="U135" s="2"/>
      <c r="V135" s="6">
        <f t="shared" si="60"/>
        <v>1.8273359406371646E-4</v>
      </c>
      <c r="W135" s="2"/>
      <c r="X135" s="7">
        <f t="shared" si="61"/>
        <v>710.23</v>
      </c>
      <c r="Y135" s="2"/>
      <c r="Z135" s="6">
        <f t="shared" si="62"/>
        <v>1.7755750000000001</v>
      </c>
    </row>
    <row r="136" spans="1:26" s="28" customFormat="1" outlineLevel="1" collapsed="1" x14ac:dyDescent="0.25">
      <c r="A136" s="29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SUM(OSRRefD22_15x_0)</f>
        <v>103.6</v>
      </c>
      <c r="E136" s="1"/>
      <c r="F136" s="5">
        <f t="shared" ref="F136:F142" si="63">IF(D$12=0,0,D136/D$12)</f>
        <v>1.0386278322784476E-3</v>
      </c>
      <c r="G136" s="1"/>
      <c r="H136" s="1">
        <f>SUM(OSRRefH22_15x_0)</f>
        <v>600</v>
      </c>
      <c r="I136" s="1"/>
      <c r="J136" s="5">
        <f t="shared" ref="J136:J142" si="64">IF(H$12=0,0,H136/H$12)</f>
        <v>1.6699834393308934E-3</v>
      </c>
      <c r="K136" s="1"/>
      <c r="L136" s="1">
        <f t="shared" ref="L136:L142" si="65">+D136-H136</f>
        <v>-496.4</v>
      </c>
      <c r="M136" s="1"/>
      <c r="N136" s="5">
        <f t="shared" ref="N136:N142" si="66">IF(H136=0,0,L136/H136)</f>
        <v>-0.82733333333333325</v>
      </c>
      <c r="O136" s="14"/>
      <c r="P136" s="1">
        <f>SUM(OSRRefP22_15x_0)</f>
        <v>2774.19</v>
      </c>
      <c r="Q136" s="1"/>
      <c r="R136" s="5">
        <f t="shared" ref="R136:R142" si="67">IF(P$12=0,0,P136/P$12)</f>
        <v>2.4618114361714119E-3</v>
      </c>
      <c r="S136" s="1"/>
      <c r="T136" s="1">
        <f>SUM(OSRRefT22_15x_0)</f>
        <v>4800</v>
      </c>
      <c r="U136" s="1"/>
      <c r="V136" s="5">
        <f t="shared" ref="V136:V142" si="68">IF(T$12=0,0,T136/T$12)</f>
        <v>2.1928031287645976E-3</v>
      </c>
      <c r="W136" s="1"/>
      <c r="X136" s="1">
        <f t="shared" ref="X136:X142" si="69">+P136-T136</f>
        <v>-2025.81</v>
      </c>
      <c r="Y136" s="1"/>
      <c r="Z136" s="5">
        <f t="shared" ref="Z136:Z142" si="70">IF(T136=0,0,X136/T136)</f>
        <v>-0.42204375</v>
      </c>
    </row>
    <row r="137" spans="1:26" s="24" customFormat="1" hidden="1" outlineLevel="2" x14ac:dyDescent="0.25">
      <c r="A137" s="27"/>
      <c r="B137" s="11" t="str">
        <f>CONCATENATE("          ", "6309", " - ", "TELEPHONE")</f>
        <v xml:space="preserve">          6309 - TELEPHONE</v>
      </c>
      <c r="C137" s="11"/>
      <c r="D137" s="7">
        <v>103.6</v>
      </c>
      <c r="E137" s="2"/>
      <c r="F137" s="6">
        <f t="shared" si="63"/>
        <v>1.0386278322784476E-3</v>
      </c>
      <c r="G137" s="2"/>
      <c r="H137" s="7">
        <v>600</v>
      </c>
      <c r="I137" s="2"/>
      <c r="J137" s="6">
        <f t="shared" si="64"/>
        <v>1.6699834393308934E-3</v>
      </c>
      <c r="K137" s="2"/>
      <c r="L137" s="7">
        <f t="shared" si="65"/>
        <v>-496.4</v>
      </c>
      <c r="M137" s="2"/>
      <c r="N137" s="6">
        <f t="shared" si="66"/>
        <v>-0.82733333333333325</v>
      </c>
      <c r="O137" s="11"/>
      <c r="P137" s="7">
        <v>2774.19</v>
      </c>
      <c r="Q137" s="2"/>
      <c r="R137" s="6">
        <f t="shared" si="67"/>
        <v>2.4618114361714119E-3</v>
      </c>
      <c r="S137" s="2"/>
      <c r="T137" s="7">
        <v>4800</v>
      </c>
      <c r="U137" s="2"/>
      <c r="V137" s="6">
        <f t="shared" si="68"/>
        <v>2.1928031287645976E-3</v>
      </c>
      <c r="W137" s="2"/>
      <c r="X137" s="7">
        <f t="shared" si="69"/>
        <v>-2025.81</v>
      </c>
      <c r="Y137" s="2"/>
      <c r="Z137" s="6">
        <f t="shared" si="70"/>
        <v>-0.42204375</v>
      </c>
    </row>
    <row r="138" spans="1:26" s="28" customFormat="1" outlineLevel="1" collapsed="1" x14ac:dyDescent="0.25">
      <c r="A138" s="29"/>
      <c r="B138" s="14" t="str">
        <f>CONCATENATE("     ","Training                                          ")</f>
        <v xml:space="preserve">     Training                                          </v>
      </c>
      <c r="C138" s="14"/>
      <c r="D138" s="1">
        <f>SUM(OSRRefD22_16x_0)</f>
        <v>0</v>
      </c>
      <c r="E138" s="1"/>
      <c r="F138" s="5">
        <f t="shared" si="63"/>
        <v>0</v>
      </c>
      <c r="G138" s="1"/>
      <c r="H138" s="1">
        <f>SUM(OSRRefH22_16x_0)</f>
        <v>0</v>
      </c>
      <c r="I138" s="1"/>
      <c r="J138" s="5">
        <f t="shared" si="64"/>
        <v>0</v>
      </c>
      <c r="K138" s="1"/>
      <c r="L138" s="1">
        <f t="shared" si="65"/>
        <v>0</v>
      </c>
      <c r="M138" s="1"/>
      <c r="N138" s="5">
        <f t="shared" si="66"/>
        <v>0</v>
      </c>
      <c r="O138" s="14"/>
      <c r="P138" s="1">
        <f>SUM(OSRRefP22_16x_0)</f>
        <v>0</v>
      </c>
      <c r="Q138" s="1"/>
      <c r="R138" s="5">
        <f t="shared" si="67"/>
        <v>0</v>
      </c>
      <c r="S138" s="1"/>
      <c r="T138" s="1">
        <f>SUM(OSRRefT22_16x_0)</f>
        <v>3600</v>
      </c>
      <c r="U138" s="1"/>
      <c r="V138" s="5">
        <f t="shared" si="68"/>
        <v>1.6446023465734481E-3</v>
      </c>
      <c r="W138" s="1"/>
      <c r="X138" s="1">
        <f t="shared" si="69"/>
        <v>-3600</v>
      </c>
      <c r="Y138" s="1"/>
      <c r="Z138" s="5">
        <f t="shared" si="70"/>
        <v>-1</v>
      </c>
    </row>
    <row r="139" spans="1:26" s="24" customFormat="1" hidden="1" outlineLevel="2" x14ac:dyDescent="0.25">
      <c r="A139" s="27"/>
      <c r="B139" s="11" t="str">
        <f>CONCATENATE("          ", "6376", " - ", "TRAINING")</f>
        <v xml:space="preserve">          6376 - TRAINING</v>
      </c>
      <c r="C139" s="11"/>
      <c r="D139" s="7"/>
      <c r="E139" s="2"/>
      <c r="F139" s="6">
        <f t="shared" si="63"/>
        <v>0</v>
      </c>
      <c r="G139" s="2"/>
      <c r="H139" s="7"/>
      <c r="I139" s="2"/>
      <c r="J139" s="6">
        <f t="shared" si="64"/>
        <v>0</v>
      </c>
      <c r="K139" s="2"/>
      <c r="L139" s="7">
        <f t="shared" si="65"/>
        <v>0</v>
      </c>
      <c r="M139" s="2"/>
      <c r="N139" s="6">
        <f t="shared" si="66"/>
        <v>0</v>
      </c>
      <c r="O139" s="11"/>
      <c r="P139" s="7"/>
      <c r="Q139" s="2"/>
      <c r="R139" s="6">
        <f t="shared" si="67"/>
        <v>0</v>
      </c>
      <c r="S139" s="2"/>
      <c r="T139" s="7">
        <v>3600</v>
      </c>
      <c r="U139" s="2"/>
      <c r="V139" s="6">
        <f t="shared" si="68"/>
        <v>1.6446023465734481E-3</v>
      </c>
      <c r="W139" s="2"/>
      <c r="X139" s="7">
        <f t="shared" si="69"/>
        <v>-3600</v>
      </c>
      <c r="Y139" s="2"/>
      <c r="Z139" s="6">
        <f t="shared" si="70"/>
        <v>-1</v>
      </c>
    </row>
    <row r="140" spans="1:26" s="28" customFormat="1" outlineLevel="1" collapsed="1" x14ac:dyDescent="0.25">
      <c r="A140" s="29"/>
      <c r="B140" s="14" t="str">
        <f>CONCATENATE("     ","Travel                                            ")</f>
        <v xml:space="preserve">     Travel                                            </v>
      </c>
      <c r="C140" s="14"/>
      <c r="D140" s="1">
        <f>SUM(OSRRefD22_17x_0)</f>
        <v>0</v>
      </c>
      <c r="E140" s="1"/>
      <c r="F140" s="5">
        <f t="shared" si="63"/>
        <v>0</v>
      </c>
      <c r="G140" s="1"/>
      <c r="H140" s="1">
        <f>SUM(OSRRefH22_17x_0)</f>
        <v>25</v>
      </c>
      <c r="I140" s="1"/>
      <c r="J140" s="5">
        <f t="shared" si="64"/>
        <v>6.9582643305453882E-5</v>
      </c>
      <c r="K140" s="1"/>
      <c r="L140" s="1">
        <f t="shared" si="65"/>
        <v>-25</v>
      </c>
      <c r="M140" s="1"/>
      <c r="N140" s="5">
        <f t="shared" si="66"/>
        <v>-1</v>
      </c>
      <c r="O140" s="14"/>
      <c r="P140" s="1">
        <f>SUM(OSRRefP22_17x_0)</f>
        <v>69.92</v>
      </c>
      <c r="Q140" s="1"/>
      <c r="R140" s="5">
        <f t="shared" si="67"/>
        <v>6.2046887782417616E-5</v>
      </c>
      <c r="S140" s="1"/>
      <c r="T140" s="1">
        <f>SUM(OSRRefT22_17x_0)</f>
        <v>200</v>
      </c>
      <c r="U140" s="1"/>
      <c r="V140" s="5">
        <f t="shared" si="68"/>
        <v>9.136679703185823E-5</v>
      </c>
      <c r="W140" s="1"/>
      <c r="X140" s="1">
        <f t="shared" si="69"/>
        <v>-130.07999999999998</v>
      </c>
      <c r="Y140" s="1"/>
      <c r="Z140" s="5">
        <f t="shared" si="70"/>
        <v>-0.65039999999999987</v>
      </c>
    </row>
    <row r="141" spans="1:26" s="24" customFormat="1" hidden="1" outlineLevel="2" x14ac:dyDescent="0.25">
      <c r="A141" s="27"/>
      <c r="B141" s="11" t="str">
        <f>CONCATENATE("          ", "6294", " - ", "TRAVEL OPERATIONAL")</f>
        <v xml:space="preserve">          6294 - TRAVEL OPERATIONAL</v>
      </c>
      <c r="C141" s="11"/>
      <c r="D141" s="7"/>
      <c r="E141" s="2"/>
      <c r="F141" s="6">
        <f t="shared" si="63"/>
        <v>0</v>
      </c>
      <c r="G141" s="2"/>
      <c r="H141" s="7">
        <v>25</v>
      </c>
      <c r="I141" s="2"/>
      <c r="J141" s="6">
        <f t="shared" si="64"/>
        <v>6.9582643305453882E-5</v>
      </c>
      <c r="K141" s="2"/>
      <c r="L141" s="7">
        <f t="shared" si="65"/>
        <v>-25</v>
      </c>
      <c r="M141" s="2"/>
      <c r="N141" s="6">
        <f t="shared" si="66"/>
        <v>-1</v>
      </c>
      <c r="O141" s="11"/>
      <c r="P141" s="7">
        <v>69.92</v>
      </c>
      <c r="Q141" s="2"/>
      <c r="R141" s="6">
        <f t="shared" si="67"/>
        <v>6.2046887782417616E-5</v>
      </c>
      <c r="S141" s="2"/>
      <c r="T141" s="7">
        <v>200</v>
      </c>
      <c r="U141" s="2"/>
      <c r="V141" s="6">
        <f t="shared" si="68"/>
        <v>9.136679703185823E-5</v>
      </c>
      <c r="W141" s="2"/>
      <c r="X141" s="7">
        <f t="shared" si="69"/>
        <v>-130.07999999999998</v>
      </c>
      <c r="Y141" s="2"/>
      <c r="Z141" s="6">
        <f t="shared" si="70"/>
        <v>-0.65039999999999987</v>
      </c>
    </row>
    <row r="142" spans="1:26" s="24" customFormat="1" hidden="1" outlineLevel="2" x14ac:dyDescent="0.25">
      <c r="A142" s="27"/>
      <c r="B142" s="11" t="str">
        <f>CONCATENATE("          ", "6298", " - ", "VEHICLE MILEAGE")</f>
        <v xml:space="preserve">          6298 - VEHICLE MILEAGE</v>
      </c>
      <c r="C142" s="11"/>
      <c r="D142" s="7"/>
      <c r="E142" s="2"/>
      <c r="F142" s="6">
        <f t="shared" si="63"/>
        <v>0</v>
      </c>
      <c r="G142" s="2"/>
      <c r="H142" s="7">
        <v>0</v>
      </c>
      <c r="I142" s="2"/>
      <c r="J142" s="6">
        <f t="shared" si="64"/>
        <v>0</v>
      </c>
      <c r="K142" s="2"/>
      <c r="L142" s="7">
        <f t="shared" si="65"/>
        <v>0</v>
      </c>
      <c r="M142" s="2"/>
      <c r="N142" s="6">
        <f t="shared" si="66"/>
        <v>0</v>
      </c>
      <c r="O142" s="11"/>
      <c r="P142" s="7"/>
      <c r="Q142" s="2"/>
      <c r="R142" s="6">
        <f t="shared" si="67"/>
        <v>0</v>
      </c>
      <c r="S142" s="2"/>
      <c r="T142" s="7">
        <v>0</v>
      </c>
      <c r="U142" s="2"/>
      <c r="V142" s="6">
        <f t="shared" si="68"/>
        <v>0</v>
      </c>
      <c r="W142" s="2"/>
      <c r="X142" s="7">
        <f t="shared" si="69"/>
        <v>0</v>
      </c>
      <c r="Y142" s="2"/>
      <c r="Z142" s="6">
        <f t="shared" si="70"/>
        <v>0</v>
      </c>
    </row>
    <row r="143" spans="1:26" s="58" customFormat="1" x14ac:dyDescent="0.25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25">
      <c r="A144" s="10"/>
      <c r="B144" s="26" t="s">
        <v>0</v>
      </c>
      <c r="C144" s="10"/>
      <c r="D144" s="4">
        <f>SUM(OSRRefD25x_0)</f>
        <v>-3986.08</v>
      </c>
      <c r="E144" s="4"/>
      <c r="F144" s="12">
        <f t="shared" ref="F144:F147" si="71">IF(D$12=0,0,D144/D$12)</f>
        <v>-3.9961907622475631E-2</v>
      </c>
      <c r="G144" s="4"/>
      <c r="H144" s="4">
        <f>SUM(OSRRefH25x_0)</f>
        <v>8075</v>
      </c>
      <c r="I144" s="4"/>
      <c r="J144" s="12">
        <f t="shared" ref="J144:J147" si="72">IF(H$12=0,0,H144/H$12)</f>
        <v>2.2475193787661607E-2</v>
      </c>
      <c r="K144" s="4"/>
      <c r="L144" s="4">
        <f t="shared" ref="L144:L147" si="73">+D144-H144</f>
        <v>-12061.08</v>
      </c>
      <c r="M144" s="4"/>
      <c r="N144" s="12">
        <f t="shared" ref="N144:N147" si="74">IF(H144=0,0,L144/H144)</f>
        <v>-1.4936321981424148</v>
      </c>
      <c r="O144" s="10"/>
      <c r="P144" s="4">
        <f>SUM(OSRRefP25x_0)</f>
        <v>217793.07</v>
      </c>
      <c r="Q144" s="4"/>
      <c r="R144" s="12">
        <f t="shared" ref="R144:R147" si="75">IF(P$12=0,0,P144/P$12)</f>
        <v>0.19326919585352151</v>
      </c>
      <c r="S144" s="4"/>
      <c r="T144" s="4">
        <f>SUM(OSRRefT25x_0)</f>
        <v>238220</v>
      </c>
      <c r="U144" s="4"/>
      <c r="V144" s="12">
        <f t="shared" ref="V144:V147" si="76">IF(T$12=0,0,T144/T$12)</f>
        <v>0.10882699194464635</v>
      </c>
      <c r="W144" s="4"/>
      <c r="X144" s="4">
        <f t="shared" ref="X144:X147" si="77">+P144-T144</f>
        <v>-20426.929999999993</v>
      </c>
      <c r="Y144" s="4"/>
      <c r="Z144" s="12">
        <f t="shared" ref="Z144:Z147" si="78">IF(T144=0,0,X144/T144)</f>
        <v>-8.5748173956846585E-2</v>
      </c>
    </row>
    <row r="145" spans="1:26" s="24" customFormat="1" hidden="1" outlineLevel="1" x14ac:dyDescent="0.25">
      <c r="A145" s="51"/>
      <c r="B145" s="11" t="str">
        <f>CONCATENATE("          ", "9150", " - ", "MISC. INCOME")</f>
        <v xml:space="preserve">          9150 - MISC. INCOME</v>
      </c>
      <c r="C145" s="11"/>
      <c r="D145" s="2">
        <f t="shared" ref="D145:D146" si="79">0</f>
        <v>0</v>
      </c>
      <c r="E145" s="2"/>
      <c r="F145" s="22">
        <f t="shared" si="71"/>
        <v>0</v>
      </c>
      <c r="G145" s="2"/>
      <c r="H145" s="2">
        <v>8075</v>
      </c>
      <c r="I145" s="2"/>
      <c r="J145" s="22">
        <f t="shared" si="72"/>
        <v>2.2475193787661607E-2</v>
      </c>
      <c r="K145" s="2"/>
      <c r="L145" s="2">
        <f t="shared" si="73"/>
        <v>-8075</v>
      </c>
      <c r="M145" s="2"/>
      <c r="N145" s="22">
        <f t="shared" si="74"/>
        <v>-1</v>
      </c>
      <c r="O145" s="11"/>
      <c r="P145" s="2">
        <f>--46373.31</f>
        <v>46373.31</v>
      </c>
      <c r="Q145" s="2"/>
      <c r="R145" s="22">
        <f t="shared" si="75"/>
        <v>4.1151595561631352E-2</v>
      </c>
      <c r="S145" s="2"/>
      <c r="T145" s="2">
        <v>64600</v>
      </c>
      <c r="U145" s="2"/>
      <c r="V145" s="22">
        <f t="shared" si="76"/>
        <v>2.9511475441290208E-2</v>
      </c>
      <c r="W145" s="2"/>
      <c r="X145" s="2">
        <f t="shared" si="77"/>
        <v>-18226.690000000002</v>
      </c>
      <c r="Y145" s="2"/>
      <c r="Z145" s="22">
        <f t="shared" si="78"/>
        <v>-0.28214690402476783</v>
      </c>
    </row>
    <row r="146" spans="1:26" s="24" customFormat="1" hidden="1" outlineLevel="1" x14ac:dyDescent="0.25">
      <c r="A146" s="51"/>
      <c r="B146" s="11" t="str">
        <f>CONCATENATE("          ", "9151", " - ", "MISC. INCOME")</f>
        <v xml:space="preserve">          9151 - MISC. INCOME</v>
      </c>
      <c r="C146" s="11"/>
      <c r="D146" s="2">
        <f t="shared" si="79"/>
        <v>0</v>
      </c>
      <c r="E146" s="2"/>
      <c r="F146" s="22">
        <f t="shared" si="71"/>
        <v>0</v>
      </c>
      <c r="G146" s="2"/>
      <c r="H146" s="2">
        <v>0</v>
      </c>
      <c r="I146" s="2"/>
      <c r="J146" s="22">
        <f t="shared" si="72"/>
        <v>0</v>
      </c>
      <c r="K146" s="2"/>
      <c r="L146" s="2">
        <f t="shared" si="73"/>
        <v>0</v>
      </c>
      <c r="M146" s="2"/>
      <c r="N146" s="22">
        <f t="shared" si="74"/>
        <v>0</v>
      </c>
      <c r="O146" s="11"/>
      <c r="P146" s="2">
        <f>0</f>
        <v>0</v>
      </c>
      <c r="Q146" s="2"/>
      <c r="R146" s="22">
        <f t="shared" si="75"/>
        <v>0</v>
      </c>
      <c r="S146" s="2"/>
      <c r="T146" s="2">
        <v>173620</v>
      </c>
      <c r="U146" s="2"/>
      <c r="V146" s="22">
        <f t="shared" si="76"/>
        <v>7.9315516503356137E-2</v>
      </c>
      <c r="W146" s="2"/>
      <c r="X146" s="2">
        <f t="shared" si="77"/>
        <v>-173620</v>
      </c>
      <c r="Y146" s="2"/>
      <c r="Z146" s="22">
        <f t="shared" si="78"/>
        <v>-1</v>
      </c>
    </row>
    <row r="147" spans="1:26" s="24" customFormat="1" hidden="1" outlineLevel="1" x14ac:dyDescent="0.25">
      <c r="A147" s="51"/>
      <c r="B147" s="11" t="str">
        <f>CONCATENATE("          ", "9163", " - ", "MISC. INCOME")</f>
        <v xml:space="preserve">          9163 - MISC. INCOME</v>
      </c>
      <c r="C147" s="11"/>
      <c r="D147" s="2">
        <f>-3986.08</f>
        <v>-3986.08</v>
      </c>
      <c r="E147" s="2"/>
      <c r="F147" s="22">
        <f t="shared" si="71"/>
        <v>-3.9961907622475631E-2</v>
      </c>
      <c r="G147" s="2"/>
      <c r="H147" s="2"/>
      <c r="I147" s="2"/>
      <c r="J147" s="22">
        <f t="shared" si="72"/>
        <v>0</v>
      </c>
      <c r="K147" s="2"/>
      <c r="L147" s="2">
        <f t="shared" si="73"/>
        <v>-3986.08</v>
      </c>
      <c r="M147" s="2"/>
      <c r="N147" s="22">
        <f t="shared" si="74"/>
        <v>0</v>
      </c>
      <c r="O147" s="11"/>
      <c r="P147" s="2">
        <f>--171419.76</f>
        <v>171419.76</v>
      </c>
      <c r="Q147" s="2"/>
      <c r="R147" s="22">
        <f t="shared" si="75"/>
        <v>0.15211760029189014</v>
      </c>
      <c r="S147" s="2"/>
      <c r="T147" s="2"/>
      <c r="U147" s="2"/>
      <c r="V147" s="22">
        <f t="shared" si="76"/>
        <v>0</v>
      </c>
      <c r="W147" s="2"/>
      <c r="X147" s="2">
        <f t="shared" si="77"/>
        <v>171419.76</v>
      </c>
      <c r="Y147" s="2"/>
      <c r="Z147" s="22">
        <f t="shared" si="78"/>
        <v>0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5" t="s">
        <v>3</v>
      </c>
      <c r="C149" s="25"/>
      <c r="D149" s="19">
        <f>+D76-D78+D144</f>
        <v>2637.8099999999922</v>
      </c>
      <c r="E149" s="13"/>
      <c r="F149" s="21">
        <f>IF(D$12=0,0,D149/D$12)</f>
        <v>2.6445008516046375E-2</v>
      </c>
      <c r="G149" s="13"/>
      <c r="H149" s="19">
        <f>+H76-H78+H144</f>
        <v>91097.421833923101</v>
      </c>
      <c r="I149" s="13"/>
      <c r="J149" s="21">
        <f>IF(H$12=0,0,H149/H$12)</f>
        <v>0.25355197638065352</v>
      </c>
      <c r="K149" s="15"/>
      <c r="L149" s="19">
        <f>+D149-H149</f>
        <v>-88459.611833923103</v>
      </c>
      <c r="M149" s="15"/>
      <c r="N149" s="21">
        <f>IF(H149=0,0,L149/H149)</f>
        <v>-0.97104407625488121</v>
      </c>
      <c r="O149" s="26"/>
      <c r="P149" s="19">
        <f>+P76-P78+P144</f>
        <v>309610.56999999977</v>
      </c>
      <c r="Q149" s="13"/>
      <c r="R149" s="21">
        <f>IF(P$12=0,0,P149/P$12)</f>
        <v>0.27474788748627488</v>
      </c>
      <c r="S149" s="13"/>
      <c r="T149" s="19">
        <f>+T76-T78+T144</f>
        <v>607877.34588057699</v>
      </c>
      <c r="U149" s="13"/>
      <c r="V149" s="21">
        <f>IF(T$12=0,0,T149/T$12)</f>
        <v>0.27769903040667682</v>
      </c>
      <c r="W149" s="15"/>
      <c r="X149" s="19">
        <f>+P149-T149</f>
        <v>-298266.77588057722</v>
      </c>
      <c r="Y149" s="15"/>
      <c r="Z149" s="21">
        <f>IF(T149=0,0,X149/T149)</f>
        <v>-0.49066933963216725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2"/>
      <c r="B151" s="10" t="s">
        <v>14</v>
      </c>
      <c r="C151" s="10"/>
      <c r="D151" s="4">
        <v>36710.89</v>
      </c>
      <c r="E151" s="4"/>
      <c r="F151" s="12">
        <f>IF(D$12=0,0,D151/D$12)</f>
        <v>0.36804007820185858</v>
      </c>
      <c r="G151" s="4"/>
      <c r="H151" s="4">
        <v>58930</v>
      </c>
      <c r="I151" s="4"/>
      <c r="J151" s="12">
        <f>IF(H$12=0,0,H151/H$12)</f>
        <v>0.1640202067996159</v>
      </c>
      <c r="K151" s="4"/>
      <c r="L151" s="4">
        <f>+D151-H151</f>
        <v>-22219.11</v>
      </c>
      <c r="M151" s="4"/>
      <c r="N151" s="12">
        <f>IF(H151=0,0,L151/H151)</f>
        <v>-0.37704242321398268</v>
      </c>
      <c r="O151" s="10"/>
      <c r="P151" s="4">
        <v>223164.47</v>
      </c>
      <c r="Q151" s="4"/>
      <c r="R151" s="12">
        <f>IF(P$12=0,0,P151/P$12)</f>
        <v>0.19803576697815647</v>
      </c>
      <c r="S151" s="4"/>
      <c r="T151" s="4">
        <v>376459</v>
      </c>
      <c r="U151" s="4"/>
      <c r="V151" s="12">
        <f>IF(T$12=0,0,T151/T$12)</f>
        <v>0.17197926521908158</v>
      </c>
      <c r="W151" s="4"/>
      <c r="X151" s="4">
        <f>+P151-T151</f>
        <v>-153294.53</v>
      </c>
      <c r="Y151" s="4"/>
      <c r="Z151" s="12">
        <f>IF(T151=0,0,X151/T151)</f>
        <v>-0.40720112947226655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5" t="s">
        <v>4</v>
      </c>
      <c r="C153" s="25"/>
      <c r="D153" s="34">
        <f>+D149-D151</f>
        <v>-34073.080000000009</v>
      </c>
      <c r="E153" s="13"/>
      <c r="F153" s="30">
        <f>IF(D$12=0,0,D153/D$12)</f>
        <v>-0.34159506968581221</v>
      </c>
      <c r="G153" s="13"/>
      <c r="H153" s="34">
        <f>+H149-H151</f>
        <v>32167.421833923101</v>
      </c>
      <c r="I153" s="13"/>
      <c r="J153" s="30">
        <f>IF(H$12=0,0,H153/H$12)</f>
        <v>8.9531769581037618E-2</v>
      </c>
      <c r="K153" s="15"/>
      <c r="L153" s="34">
        <f>D153-H153</f>
        <v>-66240.501833923103</v>
      </c>
      <c r="M153" s="15"/>
      <c r="N153" s="30">
        <f>IF(H153=0,0,L153/H153)</f>
        <v>-2.0592418682453197</v>
      </c>
      <c r="O153" s="26"/>
      <c r="P153" s="34">
        <f>+P149-P151</f>
        <v>86446.099999999773</v>
      </c>
      <c r="Q153" s="13"/>
      <c r="R153" s="30">
        <f>IF(P$12=0,0,P153/P$12)</f>
        <v>7.6712120508118375E-2</v>
      </c>
      <c r="S153" s="13"/>
      <c r="T153" s="34">
        <f>+T149-T151</f>
        <v>231418.34588057699</v>
      </c>
      <c r="U153" s="13"/>
      <c r="V153" s="30">
        <f>IF(T$12=0,0,T153/T$12)</f>
        <v>0.10571976518759522</v>
      </c>
      <c r="W153" s="15"/>
      <c r="X153" s="34">
        <f>P153-T153</f>
        <v>-144972.24588057722</v>
      </c>
      <c r="Y153" s="15"/>
      <c r="Z153" s="30">
        <f>IF(T153=0,0,X153/T153)</f>
        <v>-0.62645096407088607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5" t="s">
        <v>5</v>
      </c>
      <c r="C156" s="25"/>
      <c r="D156" s="35">
        <f>SUM(D153:D155)</f>
        <v>-34073.080000000009</v>
      </c>
      <c r="E156" s="13"/>
      <c r="F156" s="31">
        <f>IF(D$12=0,0,D156/D$12)</f>
        <v>-0.34159506968581221</v>
      </c>
      <c r="G156" s="13"/>
      <c r="H156" s="35">
        <f>SUM(H153:H155)</f>
        <v>32167.421833923101</v>
      </c>
      <c r="I156" s="13"/>
      <c r="J156" s="31">
        <f>IF(H$12=0,0,H156/H$12)</f>
        <v>8.9531769581037618E-2</v>
      </c>
      <c r="K156" s="15"/>
      <c r="L156" s="35">
        <f>+D156-H156</f>
        <v>-66240.501833923103</v>
      </c>
      <c r="M156" s="15"/>
      <c r="N156" s="31">
        <f>IF(H156=0,0,L156/H156)</f>
        <v>-2.0592418682453197</v>
      </c>
      <c r="O156" s="26"/>
      <c r="P156" s="35">
        <f>SUM(P153:P155)</f>
        <v>86446.099999999773</v>
      </c>
      <c r="Q156" s="13"/>
      <c r="R156" s="31">
        <f>IF(P$12=0,0,P156/P$12)</f>
        <v>7.6712120508118375E-2</v>
      </c>
      <c r="S156" s="13"/>
      <c r="T156" s="35">
        <f>SUM(T153:T155)</f>
        <v>231418.34588057699</v>
      </c>
      <c r="U156" s="13"/>
      <c r="V156" s="31">
        <f>IF(T$12=0,0,T156/T$12)</f>
        <v>0.10571976518759522</v>
      </c>
      <c r="W156" s="15"/>
      <c r="X156" s="35">
        <f>+P156-T156</f>
        <v>-144972.24588057722</v>
      </c>
      <c r="Y156" s="15"/>
      <c r="Z156" s="31">
        <f>IF(T156=0,0,X156/T156)</f>
        <v>-0.62645096407088607</v>
      </c>
    </row>
    <row r="157" spans="1:26" ht="15.75" thickTop="1" x14ac:dyDescent="0.25">
      <c r="A157" s="9"/>
      <c r="C157" s="9"/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  <row r="158" spans="1:26" x14ac:dyDescent="0.25">
      <c r="A158" s="9"/>
      <c r="B158" s="53">
        <v>44267.67184771991</v>
      </c>
      <c r="D158" s="18"/>
      <c r="E158" s="18"/>
      <c r="G158" s="18"/>
      <c r="H158" s="18"/>
      <c r="I158" s="18"/>
      <c r="J158" s="42"/>
      <c r="K158" s="18"/>
      <c r="L158" s="18"/>
      <c r="M158" s="18"/>
      <c r="P158" s="18"/>
      <c r="Q158" s="18"/>
      <c r="R158" s="42"/>
      <c r="S158" s="18"/>
      <c r="T158" s="18"/>
      <c r="U158" s="18"/>
      <c r="V158" s="42"/>
      <c r="W158" s="18"/>
      <c r="X158" s="18"/>
    </row>
    <row r="159" spans="1:26" x14ac:dyDescent="0.25">
      <c r="A159" s="9"/>
      <c r="B159" s="62" t="s">
        <v>314</v>
      </c>
      <c r="D159" s="18"/>
      <c r="E159" s="18"/>
      <c r="G159" s="18"/>
      <c r="H159" s="18"/>
      <c r="I159" s="18"/>
      <c r="J159" s="42"/>
      <c r="K159" s="18"/>
      <c r="L159" s="18"/>
      <c r="M159" s="18"/>
      <c r="P159" s="18"/>
      <c r="Q159" s="18"/>
      <c r="R159" s="42"/>
      <c r="S159" s="18"/>
      <c r="T159" s="18"/>
      <c r="U159" s="18"/>
      <c r="V159" s="42"/>
      <c r="W159" s="18"/>
      <c r="X159" s="18"/>
    </row>
    <row r="160" spans="1:26" x14ac:dyDescent="0.25">
      <c r="A160" s="9"/>
      <c r="B160" s="57"/>
      <c r="D160" s="18"/>
      <c r="E160" s="18"/>
      <c r="G160" s="18"/>
      <c r="H160" s="18"/>
      <c r="I160" s="18"/>
      <c r="J160" s="42"/>
      <c r="K160" s="18"/>
      <c r="L160" s="18"/>
      <c r="M160" s="18"/>
      <c r="P160" s="18"/>
      <c r="Q160" s="18"/>
      <c r="R160" s="42"/>
      <c r="S160" s="18"/>
      <c r="T160" s="18"/>
      <c r="U160" s="18"/>
      <c r="V160" s="42"/>
      <c r="W160" s="18"/>
      <c r="X160" s="18"/>
    </row>
    <row r="161" spans="4:24" x14ac:dyDescent="0.25">
      <c r="D161" s="18"/>
      <c r="E161" s="18"/>
      <c r="G161" s="18"/>
      <c r="H161" s="18"/>
      <c r="I161" s="18"/>
      <c r="J161" s="42"/>
      <c r="K161" s="18"/>
      <c r="L161" s="18"/>
      <c r="M161" s="18"/>
      <c r="P161" s="18"/>
      <c r="Q161" s="18"/>
      <c r="R161" s="42"/>
      <c r="S161" s="18"/>
      <c r="T161" s="18"/>
      <c r="U161" s="18"/>
      <c r="V161" s="42"/>
      <c r="W161" s="18"/>
      <c r="X16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8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20568.219999999998</v>
      </c>
      <c r="E12" s="4"/>
      <c r="F12" s="12"/>
      <c r="G12" s="4"/>
      <c r="H12" s="4">
        <f>SUM(OSRRefH13x_0)</f>
        <v>41348</v>
      </c>
      <c r="I12" s="4"/>
      <c r="J12" s="12"/>
      <c r="K12" s="4"/>
      <c r="L12" s="4">
        <f t="shared" ref="L12:L33" si="0">+D12-H12</f>
        <v>-20779.780000000002</v>
      </c>
      <c r="M12" s="4"/>
      <c r="N12" s="12">
        <f t="shared" ref="N12:N33" si="1">IF(H12=0,0,L12/H12)</f>
        <v>-0.50255828576956574</v>
      </c>
      <c r="O12" s="10"/>
      <c r="P12" s="4">
        <f>SUM(OSRRefP13x_0)</f>
        <v>184238.42000000004</v>
      </c>
      <c r="Q12" s="4"/>
      <c r="R12" s="12"/>
      <c r="S12" s="4"/>
      <c r="T12" s="4">
        <f>SUM(OSRRefT13x_0)</f>
        <v>382763</v>
      </c>
      <c r="U12" s="4"/>
      <c r="V12" s="12"/>
      <c r="W12" s="4"/>
      <c r="X12" s="4">
        <f t="shared" ref="X12:X33" si="2">+P12-T12</f>
        <v>-198524.57999999996</v>
      </c>
      <c r="Y12" s="4"/>
      <c r="Z12" s="12">
        <f t="shared" ref="Z12:Z33" si="3">IF(T12=0,0,X12/T12)</f>
        <v>-0.51866188738200913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-677.62</f>
        <v>-677.62</v>
      </c>
      <c r="E13" s="2"/>
      <c r="F13" s="22"/>
      <c r="G13" s="2"/>
      <c r="H13" s="2">
        <v>41348</v>
      </c>
      <c r="I13" s="2"/>
      <c r="J13" s="22"/>
      <c r="K13" s="2"/>
      <c r="L13" s="2">
        <f t="shared" si="0"/>
        <v>-42025.62</v>
      </c>
      <c r="M13" s="2"/>
      <c r="N13" s="22">
        <f t="shared" si="1"/>
        <v>-1.0163882170842604</v>
      </c>
      <c r="O13" s="11"/>
      <c r="P13" s="2">
        <f>-5043.74</f>
        <v>-5043.74</v>
      </c>
      <c r="Q13" s="2"/>
      <c r="R13" s="22"/>
      <c r="S13" s="2"/>
      <c r="T13" s="2">
        <v>382763</v>
      </c>
      <c r="U13" s="2"/>
      <c r="V13" s="22"/>
      <c r="W13" s="2"/>
      <c r="X13" s="2">
        <f t="shared" si="2"/>
        <v>-387806.74</v>
      </c>
      <c r="Y13" s="2"/>
      <c r="Z13" s="22">
        <f t="shared" si="3"/>
        <v>-1.0131771879727141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--41.38</f>
        <v>41.38</v>
      </c>
      <c r="E14" s="2"/>
      <c r="F14" s="22"/>
      <c r="G14" s="2"/>
      <c r="H14" s="2"/>
      <c r="I14" s="2"/>
      <c r="J14" s="22"/>
      <c r="K14" s="2"/>
      <c r="L14" s="2">
        <f t="shared" si="0"/>
        <v>41.38</v>
      </c>
      <c r="M14" s="2"/>
      <c r="N14" s="22">
        <f t="shared" si="1"/>
        <v>0</v>
      </c>
      <c r="O14" s="11"/>
      <c r="P14" s="2">
        <f>--208.88</f>
        <v>208.88</v>
      </c>
      <c r="Q14" s="2"/>
      <c r="R14" s="22"/>
      <c r="S14" s="2"/>
      <c r="T14" s="2"/>
      <c r="U14" s="2"/>
      <c r="V14" s="22"/>
      <c r="W14" s="2"/>
      <c r="X14" s="2">
        <f t="shared" si="2"/>
        <v>208.88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--42.77</f>
        <v>42.77</v>
      </c>
      <c r="E15" s="2"/>
      <c r="F15" s="22"/>
      <c r="G15" s="2"/>
      <c r="H15" s="2"/>
      <c r="I15" s="2"/>
      <c r="J15" s="22"/>
      <c r="K15" s="2"/>
      <c r="L15" s="2">
        <f t="shared" si="0"/>
        <v>42.77</v>
      </c>
      <c r="M15" s="2"/>
      <c r="N15" s="22">
        <f t="shared" si="1"/>
        <v>0</v>
      </c>
      <c r="O15" s="11"/>
      <c r="P15" s="2">
        <f>--333.88</f>
        <v>333.88</v>
      </c>
      <c r="Q15" s="2"/>
      <c r="R15" s="22"/>
      <c r="S15" s="2"/>
      <c r="T15" s="2"/>
      <c r="U15" s="2"/>
      <c r="V15" s="22"/>
      <c r="W15" s="2"/>
      <c r="X15" s="2">
        <f t="shared" si="2"/>
        <v>333.88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--29.24</f>
        <v>29.24</v>
      </c>
      <c r="Q16" s="2"/>
      <c r="R16" s="22"/>
      <c r="S16" s="2"/>
      <c r="T16" s="2"/>
      <c r="U16" s="2"/>
      <c r="V16" s="22"/>
      <c r="W16" s="2"/>
      <c r="X16" s="2">
        <f t="shared" si="2"/>
        <v>29.24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"4040", " - ", "TAXABLE SALES-LOGO CLOTHING")</f>
        <v xml:space="preserve">          4040 - TAXABLE SALES-LOGO CLOTHING</v>
      </c>
      <c r="C17" s="11"/>
      <c r="D17" s="2">
        <f>--17759.12</f>
        <v>17759.12</v>
      </c>
      <c r="E17" s="2"/>
      <c r="F17" s="22"/>
      <c r="G17" s="2"/>
      <c r="H17" s="2"/>
      <c r="I17" s="2"/>
      <c r="J17" s="22"/>
      <c r="K17" s="2"/>
      <c r="L17" s="2">
        <f t="shared" si="0"/>
        <v>17759.12</v>
      </c>
      <c r="M17" s="2"/>
      <c r="N17" s="22">
        <f t="shared" si="1"/>
        <v>0</v>
      </c>
      <c r="O17" s="11"/>
      <c r="P17" s="2">
        <f>--153740.04</f>
        <v>153740.04</v>
      </c>
      <c r="Q17" s="2"/>
      <c r="R17" s="22"/>
      <c r="S17" s="2"/>
      <c r="T17" s="2"/>
      <c r="U17" s="2"/>
      <c r="V17" s="22"/>
      <c r="W17" s="2"/>
      <c r="X17" s="2">
        <f t="shared" si="2"/>
        <v>153740.04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"4041", " - ", "TAXABLE SALES-LOGO GIFTS")</f>
        <v xml:space="preserve">          4041 - TAXABLE SALES-LOGO GIFTS</v>
      </c>
      <c r="C18" s="11"/>
      <c r="D18" s="2">
        <f>--2616.11</f>
        <v>2616.11</v>
      </c>
      <c r="E18" s="2"/>
      <c r="F18" s="22"/>
      <c r="G18" s="2"/>
      <c r="H18" s="2"/>
      <c r="I18" s="2"/>
      <c r="J18" s="22"/>
      <c r="K18" s="2"/>
      <c r="L18" s="2">
        <f t="shared" si="0"/>
        <v>2616.11</v>
      </c>
      <c r="M18" s="2"/>
      <c r="N18" s="22">
        <f t="shared" si="1"/>
        <v>0</v>
      </c>
      <c r="O18" s="11"/>
      <c r="P18" s="2">
        <f>--23914.09</f>
        <v>23914.09</v>
      </c>
      <c r="Q18" s="2"/>
      <c r="R18" s="22"/>
      <c r="S18" s="2"/>
      <c r="T18" s="2"/>
      <c r="U18" s="2"/>
      <c r="V18" s="22"/>
      <c r="W18" s="2"/>
      <c r="X18" s="2">
        <f t="shared" si="2"/>
        <v>23914.09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--283.35</f>
        <v>283.35000000000002</v>
      </c>
      <c r="E19" s="2"/>
      <c r="F19" s="22"/>
      <c r="G19" s="2"/>
      <c r="H19" s="2"/>
      <c r="I19" s="2"/>
      <c r="J19" s="22"/>
      <c r="K19" s="2"/>
      <c r="L19" s="2">
        <f t="shared" si="0"/>
        <v>283.35000000000002</v>
      </c>
      <c r="M19" s="2"/>
      <c r="N19" s="22">
        <f t="shared" si="1"/>
        <v>0</v>
      </c>
      <c r="O19" s="11"/>
      <c r="P19" s="2">
        <f>--6909.68</f>
        <v>6909.68</v>
      </c>
      <c r="Q19" s="2"/>
      <c r="R19" s="22"/>
      <c r="S19" s="2"/>
      <c r="T19" s="2"/>
      <c r="U19" s="2"/>
      <c r="V19" s="22"/>
      <c r="W19" s="2"/>
      <c r="X19" s="2">
        <f t="shared" si="2"/>
        <v>6909.68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"4043", " - ", "TAXABLE SALES-CARDS")</f>
        <v xml:space="preserve">          4043 - TAXABLE SALES-CARDS</v>
      </c>
      <c r="C20" s="11"/>
      <c r="D20" s="2">
        <f>--1351.69</f>
        <v>1351.69</v>
      </c>
      <c r="E20" s="2"/>
      <c r="F20" s="22"/>
      <c r="G20" s="2"/>
      <c r="H20" s="2"/>
      <c r="I20" s="2"/>
      <c r="J20" s="22"/>
      <c r="K20" s="2"/>
      <c r="L20" s="2">
        <f t="shared" si="0"/>
        <v>1351.69</v>
      </c>
      <c r="M20" s="2"/>
      <c r="N20" s="22">
        <f t="shared" si="1"/>
        <v>0</v>
      </c>
      <c r="O20" s="11"/>
      <c r="P20" s="2">
        <f>--9556.94</f>
        <v>9556.94</v>
      </c>
      <c r="Q20" s="2"/>
      <c r="R20" s="22"/>
      <c r="S20" s="2"/>
      <c r="T20" s="2"/>
      <c r="U20" s="2"/>
      <c r="V20" s="22"/>
      <c r="W20" s="2"/>
      <c r="X20" s="2">
        <f t="shared" si="2"/>
        <v>9556.94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"4044", " - ", "TAXABLE SALES-ACCESSORIES")</f>
        <v xml:space="preserve">          4044 - TAXABLE SALES-ACCESSORIES</v>
      </c>
      <c r="C21" s="11"/>
      <c r="D21" s="2">
        <f>--237.58</f>
        <v>237.58</v>
      </c>
      <c r="E21" s="2"/>
      <c r="F21" s="22"/>
      <c r="G21" s="2"/>
      <c r="H21" s="2"/>
      <c r="I21" s="2"/>
      <c r="J21" s="22"/>
      <c r="K21" s="2"/>
      <c r="L21" s="2">
        <f t="shared" si="0"/>
        <v>237.58</v>
      </c>
      <c r="M21" s="2"/>
      <c r="N21" s="22">
        <f t="shared" si="1"/>
        <v>0</v>
      </c>
      <c r="O21" s="11"/>
      <c r="P21" s="2">
        <f>--2170.75</f>
        <v>2170.75</v>
      </c>
      <c r="Q21" s="2"/>
      <c r="R21" s="22"/>
      <c r="S21" s="2"/>
      <c r="T21" s="2"/>
      <c r="U21" s="2"/>
      <c r="V21" s="22"/>
      <c r="W21" s="2"/>
      <c r="X21" s="2">
        <f t="shared" si="2"/>
        <v>2170.75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"4045", " - ", "TAXABLE SALES-SPECIAL ORDERS")</f>
        <v xml:space="preserve">          4045 - TAXABLE SALES-SPECIAL ORDERS</v>
      </c>
      <c r="C22" s="11"/>
      <c r="D22" s="2">
        <f>0</f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--326.37</f>
        <v>326.37</v>
      </c>
      <c r="Q22" s="2"/>
      <c r="R22" s="22"/>
      <c r="S22" s="2"/>
      <c r="T22" s="2"/>
      <c r="U22" s="2"/>
      <c r="V22" s="22"/>
      <c r="W22" s="2"/>
      <c r="X22" s="2">
        <f t="shared" si="2"/>
        <v>326.37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"4131", " - ", "NON-TAXABLE SALES-FOOD")</f>
        <v xml:space="preserve">          4131 - NON-TAXABLE SALES-FOOD</v>
      </c>
      <c r="C23" s="11"/>
      <c r="D23" s="2">
        <f>--4.5</f>
        <v>4.5</v>
      </c>
      <c r="E23" s="2"/>
      <c r="F23" s="22"/>
      <c r="G23" s="2"/>
      <c r="H23" s="2"/>
      <c r="I23" s="2"/>
      <c r="J23" s="22"/>
      <c r="K23" s="2"/>
      <c r="L23" s="2">
        <f t="shared" si="0"/>
        <v>4.5</v>
      </c>
      <c r="M23" s="2"/>
      <c r="N23" s="22">
        <f t="shared" si="1"/>
        <v>0</v>
      </c>
      <c r="O23" s="11"/>
      <c r="P23" s="2">
        <f>--42</f>
        <v>42</v>
      </c>
      <c r="Q23" s="2"/>
      <c r="R23" s="22"/>
      <c r="S23" s="2"/>
      <c r="T23" s="2"/>
      <c r="U23" s="2"/>
      <c r="V23" s="22"/>
      <c r="W23" s="2"/>
      <c r="X23" s="2">
        <f t="shared" si="2"/>
        <v>42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ref="D24:D28" si="4"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--9</f>
        <v>9</v>
      </c>
      <c r="Q24" s="2"/>
      <c r="R24" s="22"/>
      <c r="S24" s="2"/>
      <c r="T24" s="2"/>
      <c r="U24" s="2"/>
      <c r="V24" s="22"/>
      <c r="W24" s="2"/>
      <c r="X24" s="2">
        <f t="shared" si="2"/>
        <v>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4"/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--165.78</f>
        <v>165.78</v>
      </c>
      <c r="Q25" s="2"/>
      <c r="R25" s="22"/>
      <c r="S25" s="2"/>
      <c r="T25" s="2"/>
      <c r="U25" s="2"/>
      <c r="V25" s="22"/>
      <c r="W25" s="2"/>
      <c r="X25" s="2">
        <f t="shared" si="2"/>
        <v>165.78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--7</f>
        <v>7</v>
      </c>
      <c r="Q26" s="2"/>
      <c r="R26" s="22"/>
      <c r="S26" s="2"/>
      <c r="T26" s="2"/>
      <c r="U26" s="2"/>
      <c r="V26" s="22"/>
      <c r="W26" s="2"/>
      <c r="X26" s="2">
        <f t="shared" si="2"/>
        <v>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-27.85</f>
        <v>-27.85</v>
      </c>
      <c r="Q27" s="2"/>
      <c r="R27" s="22"/>
      <c r="S27" s="2"/>
      <c r="T27" s="2"/>
      <c r="U27" s="2"/>
      <c r="V27" s="22"/>
      <c r="W27" s="2"/>
      <c r="X27" s="2">
        <f t="shared" si="2"/>
        <v>-27.85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 t="shared" si="4"/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-43.21</f>
        <v>-43.21</v>
      </c>
      <c r="Q28" s="2"/>
      <c r="R28" s="22"/>
      <c r="S28" s="2"/>
      <c r="T28" s="2"/>
      <c r="U28" s="2"/>
      <c r="V28" s="22"/>
      <c r="W28" s="2"/>
      <c r="X28" s="2">
        <f t="shared" si="2"/>
        <v>-43.21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-933.95</f>
        <v>-933.95</v>
      </c>
      <c r="E29" s="2"/>
      <c r="F29" s="22"/>
      <c r="G29" s="2"/>
      <c r="H29" s="2"/>
      <c r="I29" s="2"/>
      <c r="J29" s="22"/>
      <c r="K29" s="2"/>
      <c r="L29" s="2">
        <f t="shared" si="0"/>
        <v>-933.95</v>
      </c>
      <c r="M29" s="2"/>
      <c r="N29" s="22">
        <f t="shared" si="1"/>
        <v>0</v>
      </c>
      <c r="O29" s="11"/>
      <c r="P29" s="2">
        <f>-7336.28</f>
        <v>-7336.28</v>
      </c>
      <c r="Q29" s="2"/>
      <c r="R29" s="22"/>
      <c r="S29" s="2"/>
      <c r="T29" s="2"/>
      <c r="U29" s="2"/>
      <c r="V29" s="22"/>
      <c r="W29" s="2"/>
      <c r="X29" s="2">
        <f t="shared" si="2"/>
        <v>-7336.28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-111.75</f>
        <v>-111.75</v>
      </c>
      <c r="E30" s="2"/>
      <c r="F30" s="22"/>
      <c r="G30" s="2"/>
      <c r="H30" s="2"/>
      <c r="I30" s="2"/>
      <c r="J30" s="22"/>
      <c r="K30" s="2"/>
      <c r="L30" s="2">
        <f t="shared" si="0"/>
        <v>-111.75</v>
      </c>
      <c r="M30" s="2"/>
      <c r="N30" s="22">
        <f t="shared" si="1"/>
        <v>0</v>
      </c>
      <c r="O30" s="11"/>
      <c r="P30" s="2">
        <f>-391.11</f>
        <v>-391.11</v>
      </c>
      <c r="Q30" s="2"/>
      <c r="R30" s="22"/>
      <c r="S30" s="2"/>
      <c r="T30" s="2"/>
      <c r="U30" s="2"/>
      <c r="V30" s="22"/>
      <c r="W30" s="2"/>
      <c r="X30" s="2">
        <f t="shared" si="2"/>
        <v>-391.11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-44.96</f>
        <v>-44.96</v>
      </c>
      <c r="E31" s="2"/>
      <c r="F31" s="22"/>
      <c r="G31" s="2"/>
      <c r="H31" s="2"/>
      <c r="I31" s="2"/>
      <c r="J31" s="22"/>
      <c r="K31" s="2"/>
      <c r="L31" s="2">
        <f t="shared" si="0"/>
        <v>-44.96</v>
      </c>
      <c r="M31" s="2"/>
      <c r="N31" s="22">
        <f t="shared" si="1"/>
        <v>0</v>
      </c>
      <c r="O31" s="11"/>
      <c r="P31" s="2">
        <f>-296.11</f>
        <v>-296.11</v>
      </c>
      <c r="Q31" s="2"/>
      <c r="R31" s="22"/>
      <c r="S31" s="2"/>
      <c r="T31" s="2"/>
      <c r="U31" s="2"/>
      <c r="V31" s="22"/>
      <c r="W31" s="2"/>
      <c r="X31" s="2">
        <f t="shared" si="2"/>
        <v>-296.11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 t="shared" ref="D32:D33" si="5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-29.93</f>
        <v>-29.93</v>
      </c>
      <c r="Q32" s="2"/>
      <c r="R32" s="22"/>
      <c r="S32" s="2"/>
      <c r="T32" s="2"/>
      <c r="U32" s="2"/>
      <c r="V32" s="22"/>
      <c r="W32" s="2"/>
      <c r="X32" s="2">
        <f t="shared" si="2"/>
        <v>-29.93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5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-7</f>
        <v>-7</v>
      </c>
      <c r="Q33" s="2"/>
      <c r="R33" s="22"/>
      <c r="S33" s="2"/>
      <c r="T33" s="2"/>
      <c r="U33" s="2"/>
      <c r="V33" s="22"/>
      <c r="W33" s="2"/>
      <c r="X33" s="2">
        <f t="shared" si="2"/>
        <v>-7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9395</v>
      </c>
      <c r="E35" s="4"/>
      <c r="F35" s="12">
        <f t="shared" ref="F35:F41" si="6">IF(D$12=0,0,D35/D$12)</f>
        <v>0.45677263273146634</v>
      </c>
      <c r="G35" s="4"/>
      <c r="H35" s="4">
        <f>SUM(OSRRefH16x_0)</f>
        <v>17779</v>
      </c>
      <c r="I35" s="4"/>
      <c r="J35" s="12">
        <f t="shared" ref="J35:J41" si="7">IF(H$12=0,0,H35/H$12)</f>
        <v>0.42998452162136014</v>
      </c>
      <c r="K35" s="4"/>
      <c r="L35" s="4">
        <f t="shared" ref="L35:L41" si="8">+D35-H35</f>
        <v>-8384</v>
      </c>
      <c r="M35" s="4"/>
      <c r="N35" s="12">
        <f t="shared" ref="N35:N41" si="9">IF(H35=0,0,L35/H35)</f>
        <v>-0.47156757972889363</v>
      </c>
      <c r="O35" s="10"/>
      <c r="P35" s="4">
        <f>SUM(OSRRefP16x_0)</f>
        <v>82274</v>
      </c>
      <c r="Q35" s="4"/>
      <c r="R35" s="12">
        <f t="shared" ref="R35:R41" si="10">IF(P$12=0,0,P35/P$12)</f>
        <v>0.44656266591951876</v>
      </c>
      <c r="S35" s="4"/>
      <c r="T35" s="4">
        <f>SUM(OSRRefT16x_0)</f>
        <v>164587</v>
      </c>
      <c r="U35" s="4"/>
      <c r="V35" s="12">
        <f t="shared" ref="V35:V41" si="11">IF(T$12=0,0,T35/T$12)</f>
        <v>0.42999715228483421</v>
      </c>
      <c r="W35" s="4"/>
      <c r="X35" s="4">
        <f t="shared" ref="X35:X41" si="12">+P35-T35</f>
        <v>-82313</v>
      </c>
      <c r="Y35" s="4"/>
      <c r="Z35" s="12">
        <f t="shared" ref="Z35:Z41" si="13">IF(T35=0,0,X35/T35)</f>
        <v>-0.50011847837314005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6"/>
        <v>0</v>
      </c>
      <c r="G36" s="2"/>
      <c r="H36" s="2">
        <v>17779</v>
      </c>
      <c r="I36" s="2"/>
      <c r="J36" s="22">
        <f t="shared" si="7"/>
        <v>0.42998452162136014</v>
      </c>
      <c r="K36" s="2"/>
      <c r="L36" s="2">
        <f t="shared" si="8"/>
        <v>-17779</v>
      </c>
      <c r="M36" s="2"/>
      <c r="N36" s="22">
        <f t="shared" si="9"/>
        <v>-1</v>
      </c>
      <c r="O36" s="11"/>
      <c r="P36" s="2"/>
      <c r="Q36" s="2"/>
      <c r="R36" s="22">
        <f t="shared" si="10"/>
        <v>0</v>
      </c>
      <c r="S36" s="2"/>
      <c r="T36" s="2">
        <v>164587</v>
      </c>
      <c r="U36" s="2"/>
      <c r="V36" s="22">
        <f t="shared" si="11"/>
        <v>0.42999715228483421</v>
      </c>
      <c r="W36" s="2"/>
      <c r="X36" s="2">
        <f t="shared" si="12"/>
        <v>-164587</v>
      </c>
      <c r="Y36" s="2"/>
      <c r="Z36" s="22">
        <f t="shared" si="13"/>
        <v>-1</v>
      </c>
    </row>
    <row r="37" spans="1:26" s="24" customFormat="1" hidden="1" outlineLevel="1" x14ac:dyDescent="0.25">
      <c r="A37" s="51"/>
      <c r="B37" s="11" t="str">
        <f>CONCATENATE("          ", "5041", " - ", "PURCHASES @ COST-LOGO GIFTS")</f>
        <v xml:space="preserve">          5041 - PURCHASES @ COST-LOGO GIFTS</v>
      </c>
      <c r="C37" s="11"/>
      <c r="D37" s="2"/>
      <c r="E37" s="2"/>
      <c r="F37" s="22">
        <f t="shared" si="6"/>
        <v>0</v>
      </c>
      <c r="G37" s="2"/>
      <c r="H37" s="2"/>
      <c r="I37" s="2"/>
      <c r="J37" s="22">
        <f t="shared" si="7"/>
        <v>0</v>
      </c>
      <c r="K37" s="2"/>
      <c r="L37" s="2">
        <f t="shared" si="8"/>
        <v>0</v>
      </c>
      <c r="M37" s="2"/>
      <c r="N37" s="22">
        <f t="shared" si="9"/>
        <v>0</v>
      </c>
      <c r="O37" s="11"/>
      <c r="P37" s="2">
        <v>207.6</v>
      </c>
      <c r="Q37" s="2"/>
      <c r="R37" s="22">
        <f t="shared" si="10"/>
        <v>1.1268008051740779E-3</v>
      </c>
      <c r="S37" s="2"/>
      <c r="T37" s="2"/>
      <c r="U37" s="2"/>
      <c r="V37" s="22">
        <f t="shared" si="11"/>
        <v>0</v>
      </c>
      <c r="W37" s="2"/>
      <c r="X37" s="2">
        <f t="shared" si="12"/>
        <v>207.6</v>
      </c>
      <c r="Y37" s="2"/>
      <c r="Z37" s="22">
        <f t="shared" si="13"/>
        <v>0</v>
      </c>
    </row>
    <row r="38" spans="1:26" s="24" customFormat="1" hidden="1" outlineLevel="1" x14ac:dyDescent="0.25">
      <c r="A38" s="51"/>
      <c r="B38" s="11" t="str">
        <f>CONCATENATE("          ", "5042", " - ", "PURCHASES @ COST-EVERYDAY GIFT")</f>
        <v xml:space="preserve">          5042 - PURCHASES @ COST-EVERYDAY GIFT</v>
      </c>
      <c r="C38" s="11"/>
      <c r="D38" s="2"/>
      <c r="E38" s="2"/>
      <c r="F38" s="22">
        <f t="shared" si="6"/>
        <v>0</v>
      </c>
      <c r="G38" s="2"/>
      <c r="H38" s="2"/>
      <c r="I38" s="2"/>
      <c r="J38" s="22">
        <f t="shared" si="7"/>
        <v>0</v>
      </c>
      <c r="K38" s="2"/>
      <c r="L38" s="2">
        <f t="shared" si="8"/>
        <v>0</v>
      </c>
      <c r="M38" s="2"/>
      <c r="N38" s="22">
        <f t="shared" si="9"/>
        <v>0</v>
      </c>
      <c r="O38" s="11"/>
      <c r="P38" s="2">
        <v>7946.04</v>
      </c>
      <c r="Q38" s="2"/>
      <c r="R38" s="22">
        <f t="shared" si="10"/>
        <v>4.312911498046932E-2</v>
      </c>
      <c r="S38" s="2"/>
      <c r="T38" s="2"/>
      <c r="U38" s="2"/>
      <c r="V38" s="22">
        <f t="shared" si="11"/>
        <v>0</v>
      </c>
      <c r="W38" s="2"/>
      <c r="X38" s="2">
        <f t="shared" si="12"/>
        <v>7946.04</v>
      </c>
      <c r="Y38" s="2"/>
      <c r="Z38" s="22">
        <f t="shared" si="13"/>
        <v>0</v>
      </c>
    </row>
    <row r="39" spans="1:26" s="24" customFormat="1" hidden="1" outlineLevel="1" x14ac:dyDescent="0.25">
      <c r="A39" s="51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13.21</v>
      </c>
      <c r="E39" s="2"/>
      <c r="F39" s="22">
        <f t="shared" si="6"/>
        <v>6.4225295139783622E-4</v>
      </c>
      <c r="G39" s="2"/>
      <c r="H39" s="2"/>
      <c r="I39" s="2"/>
      <c r="J39" s="22">
        <f t="shared" si="7"/>
        <v>0</v>
      </c>
      <c r="K39" s="2"/>
      <c r="L39" s="2">
        <f t="shared" si="8"/>
        <v>13.21</v>
      </c>
      <c r="M39" s="2"/>
      <c r="N39" s="22">
        <f t="shared" si="9"/>
        <v>0</v>
      </c>
      <c r="O39" s="11"/>
      <c r="P39" s="2">
        <v>13.21</v>
      </c>
      <c r="Q39" s="2"/>
      <c r="R39" s="22">
        <f t="shared" si="10"/>
        <v>7.1700571466038398E-5</v>
      </c>
      <c r="S39" s="2"/>
      <c r="T39" s="2"/>
      <c r="U39" s="2"/>
      <c r="V39" s="22">
        <f t="shared" si="11"/>
        <v>0</v>
      </c>
      <c r="W39" s="2"/>
      <c r="X39" s="2">
        <f t="shared" si="12"/>
        <v>13.21</v>
      </c>
      <c r="Y39" s="2"/>
      <c r="Z39" s="22">
        <f t="shared" si="13"/>
        <v>0</v>
      </c>
    </row>
    <row r="40" spans="1:26" s="24" customFormat="1" hidden="1" outlineLevel="1" x14ac:dyDescent="0.25">
      <c r="A40" s="51"/>
      <c r="B40" s="11" t="str">
        <f>CONCATENATE("          ", "5200", " - ", "PURCHASES OFFSET")</f>
        <v xml:space="preserve">          5200 - PURCHASES OFFSET</v>
      </c>
      <c r="C40" s="11"/>
      <c r="D40" s="2">
        <v>-13.21</v>
      </c>
      <c r="E40" s="2"/>
      <c r="F40" s="22">
        <f t="shared" si="6"/>
        <v>-6.4225295139783622E-4</v>
      </c>
      <c r="G40" s="2"/>
      <c r="H40" s="2"/>
      <c r="I40" s="2"/>
      <c r="J40" s="22">
        <f t="shared" si="7"/>
        <v>0</v>
      </c>
      <c r="K40" s="2"/>
      <c r="L40" s="2">
        <f t="shared" si="8"/>
        <v>-13.21</v>
      </c>
      <c r="M40" s="2"/>
      <c r="N40" s="22">
        <f t="shared" si="9"/>
        <v>0</v>
      </c>
      <c r="O40" s="11"/>
      <c r="P40" s="2">
        <v>-8166.85</v>
      </c>
      <c r="Q40" s="2"/>
      <c r="R40" s="22">
        <f t="shared" si="10"/>
        <v>-4.4327616357109439E-2</v>
      </c>
      <c r="S40" s="2"/>
      <c r="T40" s="2"/>
      <c r="U40" s="2"/>
      <c r="V40" s="22">
        <f t="shared" si="11"/>
        <v>0</v>
      </c>
      <c r="W40" s="2"/>
      <c r="X40" s="2">
        <f t="shared" si="12"/>
        <v>-8166.85</v>
      </c>
      <c r="Y40" s="2"/>
      <c r="Z40" s="22">
        <f t="shared" si="13"/>
        <v>0</v>
      </c>
    </row>
    <row r="41" spans="1:26" s="24" customFormat="1" hidden="1" outlineLevel="1" x14ac:dyDescent="0.25">
      <c r="A41" s="51"/>
      <c r="B41" s="11" t="str">
        <f>CONCATENATE("          ", "5300", " - ", "COG$ OFFSET")</f>
        <v xml:space="preserve">          5300 - COG$ OFFSET</v>
      </c>
      <c r="C41" s="11"/>
      <c r="D41" s="2">
        <v>9395</v>
      </c>
      <c r="E41" s="2"/>
      <c r="F41" s="22">
        <f t="shared" si="6"/>
        <v>0.45677263273146634</v>
      </c>
      <c r="G41" s="2"/>
      <c r="H41" s="2"/>
      <c r="I41" s="2"/>
      <c r="J41" s="22">
        <f t="shared" si="7"/>
        <v>0</v>
      </c>
      <c r="K41" s="2"/>
      <c r="L41" s="2">
        <f t="shared" si="8"/>
        <v>9395</v>
      </c>
      <c r="M41" s="2"/>
      <c r="N41" s="22">
        <f t="shared" si="9"/>
        <v>0</v>
      </c>
      <c r="O41" s="11"/>
      <c r="P41" s="2">
        <v>82274</v>
      </c>
      <c r="Q41" s="2"/>
      <c r="R41" s="22">
        <f t="shared" si="10"/>
        <v>0.44656266591951876</v>
      </c>
      <c r="S41" s="2"/>
      <c r="T41" s="2"/>
      <c r="U41" s="2"/>
      <c r="V41" s="22">
        <f t="shared" si="11"/>
        <v>0</v>
      </c>
      <c r="W41" s="2"/>
      <c r="X41" s="2">
        <f t="shared" si="12"/>
        <v>82274</v>
      </c>
      <c r="Y41" s="2"/>
      <c r="Z41" s="22">
        <f t="shared" si="13"/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6</v>
      </c>
      <c r="C43" s="25"/>
      <c r="D43" s="19">
        <f>D12-D35</f>
        <v>11173.219999999998</v>
      </c>
      <c r="E43" s="13"/>
      <c r="F43" s="21">
        <f>IF(D$12=0,0,D43/D$12)</f>
        <v>0.5432273672685336</v>
      </c>
      <c r="G43" s="13"/>
      <c r="H43" s="19">
        <f>H12-H35</f>
        <v>23569</v>
      </c>
      <c r="I43" s="13"/>
      <c r="J43" s="21">
        <f>IF(H$12=0,0,H43/H$12)</f>
        <v>0.57001547837863986</v>
      </c>
      <c r="K43" s="15"/>
      <c r="L43" s="19">
        <f>+D43-H43</f>
        <v>-12395.780000000002</v>
      </c>
      <c r="M43" s="15"/>
      <c r="N43" s="21">
        <f>IF(H43=0,0,L43/H43)</f>
        <v>-0.52593576307862033</v>
      </c>
      <c r="O43" s="26"/>
      <c r="P43" s="19">
        <f>P12-P35</f>
        <v>101964.42000000004</v>
      </c>
      <c r="Q43" s="13"/>
      <c r="R43" s="21">
        <f>IF(P$12=0,0,P43/P$12)</f>
        <v>0.55343733408048124</v>
      </c>
      <c r="S43" s="13"/>
      <c r="T43" s="19">
        <f>T12-T35</f>
        <v>218176</v>
      </c>
      <c r="U43" s="13"/>
      <c r="V43" s="21">
        <f>IF(T$12=0,0,T43/T$12)</f>
        <v>0.57000284771516574</v>
      </c>
      <c r="W43" s="15"/>
      <c r="X43" s="19">
        <f>+P43-T43</f>
        <v>-116211.57999999996</v>
      </c>
      <c r="Y43" s="15"/>
      <c r="Z43" s="21">
        <f>IF(T43=0,0,X43/T43)</f>
        <v>-0.53265061234966249</v>
      </c>
    </row>
    <row r="44" spans="1:26" x14ac:dyDescent="0.25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6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6" t="s">
        <v>9</v>
      </c>
      <c r="C45" s="10"/>
      <c r="D45" s="20">
        <f>SUM(OSRRefD22x_0)</f>
        <v>19113.539999999997</v>
      </c>
      <c r="E45" s="20"/>
      <c r="F45" s="33">
        <f t="shared" ref="F45:F55" si="14">IF(D$12=0,0,D45/D$12)</f>
        <v>0.9292753578092805</v>
      </c>
      <c r="G45" s="20"/>
      <c r="H45" s="20">
        <f>SUM(OSRRefH22x_0)</f>
        <v>26644.178761846153</v>
      </c>
      <c r="I45" s="20"/>
      <c r="J45" s="33">
        <f t="shared" ref="J45:J55" si="15">IF(H$12=0,0,H45/H$12)</f>
        <v>0.64438857409901695</v>
      </c>
      <c r="K45" s="4"/>
      <c r="L45" s="20">
        <f t="shared" ref="L45:L55" si="16">+D45-H45</f>
        <v>-7530.6387618461558</v>
      </c>
      <c r="M45" s="4"/>
      <c r="N45" s="33">
        <f t="shared" ref="N45:N55" si="17">IF(H45=0,0,L45/H45)</f>
        <v>-0.28263730059602571</v>
      </c>
      <c r="O45" s="10"/>
      <c r="P45" s="20">
        <f>SUM(OSRRefP22x_0)</f>
        <v>171840.43</v>
      </c>
      <c r="Q45" s="20"/>
      <c r="R45" s="33">
        <f t="shared" ref="R45:R55" si="18">IF(P$12=0,0,P45/P$12)</f>
        <v>0.93270681544055767</v>
      </c>
      <c r="S45" s="20"/>
      <c r="T45" s="20">
        <f>SUM(OSRRefT22x_0)</f>
        <v>209828.72851415383</v>
      </c>
      <c r="U45" s="20"/>
      <c r="V45" s="33">
        <f t="shared" ref="V45:V55" si="19">IF(T$12=0,0,T45/T$12)</f>
        <v>0.54819491046457947</v>
      </c>
      <c r="W45" s="4"/>
      <c r="X45" s="20">
        <f t="shared" ref="X45:X55" si="20">+P45-T45</f>
        <v>-37988.298514153837</v>
      </c>
      <c r="Y45" s="4"/>
      <c r="Z45" s="33">
        <f t="shared" ref="Z45:Z55" si="21">IF(T45=0,0,X45/T45)</f>
        <v>-0.18104431544316091</v>
      </c>
    </row>
    <row r="46" spans="1:26" s="28" customFormat="1" outlineLevel="1" collapsed="1" x14ac:dyDescent="0.25">
      <c r="A46" s="29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3683.69</v>
      </c>
      <c r="E46" s="1"/>
      <c r="F46" s="5">
        <f t="shared" si="14"/>
        <v>0.17909619792087017</v>
      </c>
      <c r="G46" s="1"/>
      <c r="H46" s="1">
        <f>SUM(OSRRefH22_0x_0)</f>
        <v>2147.9018387692322</v>
      </c>
      <c r="I46" s="1"/>
      <c r="J46" s="5">
        <f t="shared" si="15"/>
        <v>5.1946934283864571E-2</v>
      </c>
      <c r="K46" s="1"/>
      <c r="L46" s="1">
        <f t="shared" si="16"/>
        <v>1535.7881612307679</v>
      </c>
      <c r="M46" s="1"/>
      <c r="N46" s="5">
        <f t="shared" si="17"/>
        <v>0.71501785300895726</v>
      </c>
      <c r="O46" s="14"/>
      <c r="P46" s="1">
        <f>SUM(OSRRefP22_0x_0)</f>
        <v>39494.699999999997</v>
      </c>
      <c r="Q46" s="1"/>
      <c r="R46" s="5">
        <f t="shared" si="18"/>
        <v>0.21436733988491644</v>
      </c>
      <c r="S46" s="1"/>
      <c r="T46" s="1">
        <f>SUM(OSRRefT22_0x_0)</f>
        <v>18712.355437230777</v>
      </c>
      <c r="U46" s="1"/>
      <c r="V46" s="5">
        <f t="shared" si="19"/>
        <v>4.8887576482655785E-2</v>
      </c>
      <c r="W46" s="1"/>
      <c r="X46" s="1">
        <f t="shared" si="20"/>
        <v>20782.34456276922</v>
      </c>
      <c r="Y46" s="1"/>
      <c r="Z46" s="5">
        <f t="shared" si="21"/>
        <v>1.1106215159541015</v>
      </c>
    </row>
    <row r="47" spans="1:26" s="24" customFormat="1" hidden="1" outlineLevel="2" x14ac:dyDescent="0.25">
      <c r="A47" s="27"/>
      <c r="B47" s="11" t="str">
        <f>CONCATENATE("          ", "6111", " - ", "F.I.C.A.")</f>
        <v xml:space="preserve">          6111 - F.I.C.A.</v>
      </c>
      <c r="C47" s="11"/>
      <c r="D47" s="7">
        <v>511.97</v>
      </c>
      <c r="E47" s="2"/>
      <c r="F47" s="6">
        <f t="shared" si="14"/>
        <v>2.4891312908943995E-2</v>
      </c>
      <c r="G47" s="2"/>
      <c r="H47" s="7">
        <v>283.30699569230802</v>
      </c>
      <c r="I47" s="2"/>
      <c r="J47" s="6">
        <f t="shared" si="15"/>
        <v>6.8517702353755447E-3</v>
      </c>
      <c r="K47" s="2"/>
      <c r="L47" s="7">
        <f t="shared" si="16"/>
        <v>228.66300430769201</v>
      </c>
      <c r="M47" s="2"/>
      <c r="N47" s="6">
        <f t="shared" si="17"/>
        <v>0.80712092459600482</v>
      </c>
      <c r="O47" s="11"/>
      <c r="P47" s="7">
        <v>5532.87</v>
      </c>
      <c r="Q47" s="2"/>
      <c r="R47" s="6">
        <f t="shared" si="18"/>
        <v>3.0031032615238443E-2</v>
      </c>
      <c r="S47" s="2"/>
      <c r="T47" s="7">
        <v>3351.1945403076952</v>
      </c>
      <c r="U47" s="2"/>
      <c r="V47" s="6">
        <f t="shared" si="19"/>
        <v>8.7552729503836448E-3</v>
      </c>
      <c r="W47" s="2"/>
      <c r="X47" s="7">
        <f t="shared" si="20"/>
        <v>2181.6754596923047</v>
      </c>
      <c r="Y47" s="2"/>
      <c r="Z47" s="6">
        <f t="shared" si="21"/>
        <v>0.65101426773391402</v>
      </c>
    </row>
    <row r="48" spans="1:26" s="24" customFormat="1" hidden="1" outlineLevel="2" x14ac:dyDescent="0.25">
      <c r="A48" s="27"/>
      <c r="B48" s="11" t="str">
        <f>CONCATENATE("          ", "6112", " - ", "COMPENSATION INSURANCE")</f>
        <v xml:space="preserve">          6112 - COMPENSATION INSURANCE</v>
      </c>
      <c r="C48" s="11"/>
      <c r="D48" s="7">
        <v>151.97999999999999</v>
      </c>
      <c r="E48" s="2"/>
      <c r="F48" s="6">
        <f t="shared" si="14"/>
        <v>7.3890691562031137E-3</v>
      </c>
      <c r="G48" s="2"/>
      <c r="H48" s="7">
        <v>170.93089230769201</v>
      </c>
      <c r="I48" s="2"/>
      <c r="J48" s="6">
        <f t="shared" si="15"/>
        <v>4.1339579255995941E-3</v>
      </c>
      <c r="K48" s="2"/>
      <c r="L48" s="7">
        <f t="shared" si="16"/>
        <v>-18.950892307692015</v>
      </c>
      <c r="M48" s="2"/>
      <c r="N48" s="6">
        <f t="shared" si="17"/>
        <v>-0.11086873795509469</v>
      </c>
      <c r="O48" s="11"/>
      <c r="P48" s="7">
        <v>1915.03</v>
      </c>
      <c r="Q48" s="2"/>
      <c r="R48" s="6">
        <f t="shared" si="18"/>
        <v>1.0394303207767411E-2</v>
      </c>
      <c r="S48" s="2"/>
      <c r="T48" s="7">
        <v>1447.882007692305</v>
      </c>
      <c r="U48" s="2"/>
      <c r="V48" s="6">
        <f t="shared" si="19"/>
        <v>3.782711515199497E-3</v>
      </c>
      <c r="W48" s="2"/>
      <c r="X48" s="7">
        <f t="shared" si="20"/>
        <v>467.14799230769495</v>
      </c>
      <c r="Y48" s="2"/>
      <c r="Z48" s="6">
        <f t="shared" si="21"/>
        <v>0.32264230774733849</v>
      </c>
    </row>
    <row r="49" spans="1:26" s="24" customFormat="1" hidden="1" outlineLevel="2" x14ac:dyDescent="0.25">
      <c r="A49" s="27"/>
      <c r="B49" s="11" t="str">
        <f>CONCATENATE("          ", "6113", " - ", "GROUP INSURANCE")</f>
        <v xml:space="preserve">          6113 - GROUP INSURANCE</v>
      </c>
      <c r="C49" s="11"/>
      <c r="D49" s="7">
        <v>2002.18</v>
      </c>
      <c r="E49" s="2"/>
      <c r="F49" s="6">
        <f t="shared" si="14"/>
        <v>9.7343377307321705E-2</v>
      </c>
      <c r="G49" s="2"/>
      <c r="H49" s="7">
        <v>990</v>
      </c>
      <c r="I49" s="2"/>
      <c r="J49" s="6">
        <f t="shared" si="15"/>
        <v>2.3943116958498597E-2</v>
      </c>
      <c r="K49" s="2"/>
      <c r="L49" s="7">
        <f t="shared" si="16"/>
        <v>1012.1800000000001</v>
      </c>
      <c r="M49" s="2"/>
      <c r="N49" s="6">
        <f t="shared" si="17"/>
        <v>1.0224040404040404</v>
      </c>
      <c r="O49" s="11"/>
      <c r="P49" s="7">
        <v>20294.22</v>
      </c>
      <c r="Q49" s="2"/>
      <c r="R49" s="6">
        <f t="shared" si="18"/>
        <v>0.11015194333516319</v>
      </c>
      <c r="S49" s="2"/>
      <c r="T49" s="7">
        <v>7920</v>
      </c>
      <c r="U49" s="2"/>
      <c r="V49" s="6">
        <f t="shared" si="19"/>
        <v>2.0691655149531172E-2</v>
      </c>
      <c r="W49" s="2"/>
      <c r="X49" s="7">
        <f t="shared" si="20"/>
        <v>12374.220000000001</v>
      </c>
      <c r="Y49" s="2"/>
      <c r="Z49" s="6">
        <f t="shared" si="21"/>
        <v>1.5624015151515154</v>
      </c>
    </row>
    <row r="50" spans="1:26" s="24" customFormat="1" hidden="1" outlineLevel="2" x14ac:dyDescent="0.25">
      <c r="A50" s="27"/>
      <c r="B50" s="11" t="str">
        <f>CONCATENATE("          ", "6114", " - ", "STATE UNEMPLOYMENT INSURANCE")</f>
        <v xml:space="preserve">          6114 - STATE UNEMPLOYMENT INSURANCE</v>
      </c>
      <c r="C50" s="11"/>
      <c r="D50" s="7">
        <v>21.36</v>
      </c>
      <c r="E50" s="2"/>
      <c r="F50" s="6">
        <f t="shared" si="14"/>
        <v>1.0384953097545631E-3</v>
      </c>
      <c r="G50" s="2"/>
      <c r="H50" s="7">
        <v>24.02272</v>
      </c>
      <c r="I50" s="2"/>
      <c r="J50" s="6">
        <f t="shared" si="15"/>
        <v>5.8098868143561958E-4</v>
      </c>
      <c r="K50" s="2"/>
      <c r="L50" s="7">
        <f t="shared" si="16"/>
        <v>-2.6627200000000002</v>
      </c>
      <c r="M50" s="2"/>
      <c r="N50" s="6">
        <f t="shared" si="17"/>
        <v>-0.11084173648945665</v>
      </c>
      <c r="O50" s="11"/>
      <c r="P50" s="7">
        <v>242.8</v>
      </c>
      <c r="Q50" s="2"/>
      <c r="R50" s="6">
        <f t="shared" si="18"/>
        <v>1.3178575890956943E-3</v>
      </c>
      <c r="S50" s="2"/>
      <c r="T50" s="7">
        <v>203.48612</v>
      </c>
      <c r="U50" s="2"/>
      <c r="V50" s="6">
        <f t="shared" si="19"/>
        <v>5.3162432105506542E-4</v>
      </c>
      <c r="W50" s="2"/>
      <c r="X50" s="7">
        <f t="shared" si="20"/>
        <v>39.313880000000012</v>
      </c>
      <c r="Y50" s="2"/>
      <c r="Z50" s="6">
        <f t="shared" si="21"/>
        <v>0.19320177710401087</v>
      </c>
    </row>
    <row r="51" spans="1:26" s="24" customFormat="1" hidden="1" outlineLevel="2" x14ac:dyDescent="0.25">
      <c r="A51" s="27"/>
      <c r="B51" s="11" t="str">
        <f>CONCATENATE("          ", "6115", " - ", "P.E.R.S.")</f>
        <v xml:space="preserve">          6115 - P.E.R.S.</v>
      </c>
      <c r="C51" s="11"/>
      <c r="D51" s="7">
        <v>344.01</v>
      </c>
      <c r="E51" s="2"/>
      <c r="F51" s="6">
        <f t="shared" si="14"/>
        <v>1.6725317018196035E-2</v>
      </c>
      <c r="G51" s="2"/>
      <c r="H51" s="7">
        <v>201.43846153846201</v>
      </c>
      <c r="I51" s="2"/>
      <c r="J51" s="6">
        <f t="shared" si="15"/>
        <v>4.8717824692478965E-3</v>
      </c>
      <c r="K51" s="2"/>
      <c r="L51" s="7">
        <f t="shared" si="16"/>
        <v>142.57153846153798</v>
      </c>
      <c r="M51" s="2"/>
      <c r="N51" s="6">
        <f t="shared" si="17"/>
        <v>0.70776721273914134</v>
      </c>
      <c r="O51" s="11"/>
      <c r="P51" s="7">
        <v>3132.33</v>
      </c>
      <c r="Q51" s="2"/>
      <c r="R51" s="6">
        <f t="shared" si="18"/>
        <v>1.7001502726738532E-2</v>
      </c>
      <c r="S51" s="2"/>
      <c r="T51" s="7">
        <v>1762.5865384615411</v>
      </c>
      <c r="U51" s="2"/>
      <c r="V51" s="6">
        <f t="shared" si="19"/>
        <v>4.6049031344762717E-3</v>
      </c>
      <c r="W51" s="2"/>
      <c r="X51" s="7">
        <f t="shared" si="20"/>
        <v>1369.7434615384589</v>
      </c>
      <c r="Y51" s="2"/>
      <c r="Z51" s="6">
        <f t="shared" si="21"/>
        <v>0.77712125427556478</v>
      </c>
    </row>
    <row r="52" spans="1:26" s="24" customFormat="1" hidden="1" outlineLevel="2" x14ac:dyDescent="0.25">
      <c r="A52" s="27"/>
      <c r="B52" s="11" t="str">
        <f>CONCATENATE("          ", "6116", " - ", "EDUCATIONAL BENEFITS")</f>
        <v xml:space="preserve">          6116 - EDUCATIONAL BENEFITS</v>
      </c>
      <c r="C52" s="11"/>
      <c r="D52" s="7"/>
      <c r="E52" s="2"/>
      <c r="F52" s="6">
        <f t="shared" si="14"/>
        <v>0</v>
      </c>
      <c r="G52" s="2"/>
      <c r="H52" s="7">
        <v>0</v>
      </c>
      <c r="I52" s="2"/>
      <c r="J52" s="6">
        <f t="shared" si="15"/>
        <v>0</v>
      </c>
      <c r="K52" s="2"/>
      <c r="L52" s="7">
        <f t="shared" si="16"/>
        <v>0</v>
      </c>
      <c r="M52" s="2"/>
      <c r="N52" s="6">
        <f t="shared" si="17"/>
        <v>0</v>
      </c>
      <c r="O52" s="11"/>
      <c r="P52" s="7"/>
      <c r="Q52" s="2"/>
      <c r="R52" s="6">
        <f t="shared" si="18"/>
        <v>0</v>
      </c>
      <c r="S52" s="2"/>
      <c r="T52" s="7">
        <v>0</v>
      </c>
      <c r="U52" s="2"/>
      <c r="V52" s="6">
        <f t="shared" si="19"/>
        <v>0</v>
      </c>
      <c r="W52" s="2"/>
      <c r="X52" s="7">
        <f t="shared" si="20"/>
        <v>0</v>
      </c>
      <c r="Y52" s="2"/>
      <c r="Z52" s="6">
        <f t="shared" si="21"/>
        <v>0</v>
      </c>
    </row>
    <row r="53" spans="1:26" s="24" customFormat="1" hidden="1" outlineLevel="2" x14ac:dyDescent="0.25">
      <c r="A53" s="27"/>
      <c r="B53" s="11" t="str">
        <f>CONCATENATE("          ", "6118", " - ", "VACATION")</f>
        <v xml:space="preserve">          6118 - VACATION</v>
      </c>
      <c r="C53" s="11"/>
      <c r="D53" s="7">
        <v>342.56</v>
      </c>
      <c r="E53" s="2"/>
      <c r="F53" s="6">
        <f t="shared" si="14"/>
        <v>1.665481991149453E-2</v>
      </c>
      <c r="G53" s="2"/>
      <c r="H53" s="7">
        <v>117.11538461538501</v>
      </c>
      <c r="I53" s="2"/>
      <c r="J53" s="6">
        <f t="shared" si="15"/>
        <v>2.8324316681673845E-3</v>
      </c>
      <c r="K53" s="2"/>
      <c r="L53" s="7">
        <f t="shared" si="16"/>
        <v>225.44461538461499</v>
      </c>
      <c r="M53" s="2"/>
      <c r="N53" s="6">
        <f t="shared" si="17"/>
        <v>1.9249786535303679</v>
      </c>
      <c r="O53" s="11"/>
      <c r="P53" s="7">
        <v>3927.06</v>
      </c>
      <c r="Q53" s="2"/>
      <c r="R53" s="6">
        <f t="shared" si="18"/>
        <v>2.1315098121227914E-2</v>
      </c>
      <c r="S53" s="2"/>
      <c r="T53" s="7">
        <v>1024.759615384618</v>
      </c>
      <c r="U53" s="2"/>
      <c r="V53" s="6">
        <f t="shared" si="19"/>
        <v>2.6772692642303931E-3</v>
      </c>
      <c r="W53" s="2"/>
      <c r="X53" s="7">
        <f t="shared" si="20"/>
        <v>2902.300384615382</v>
      </c>
      <c r="Y53" s="2"/>
      <c r="Z53" s="6">
        <f t="shared" si="21"/>
        <v>2.8321767769176538</v>
      </c>
    </row>
    <row r="54" spans="1:26" s="24" customFormat="1" hidden="1" outlineLevel="2" x14ac:dyDescent="0.25">
      <c r="A54" s="27"/>
      <c r="B54" s="11" t="str">
        <f>CONCATENATE("          ", "6119", " - ", "SICK LEAVE")</f>
        <v xml:space="preserve">          6119 - SICK LEAVE</v>
      </c>
      <c r="C54" s="11"/>
      <c r="D54" s="7">
        <v>216.08</v>
      </c>
      <c r="E54" s="2"/>
      <c r="F54" s="6">
        <f t="shared" si="14"/>
        <v>1.0505527459352343E-2</v>
      </c>
      <c r="G54" s="2"/>
      <c r="H54" s="7">
        <v>186.08738461538502</v>
      </c>
      <c r="I54" s="2"/>
      <c r="J54" s="6">
        <f t="shared" si="15"/>
        <v>4.5005171862093699E-3</v>
      </c>
      <c r="K54" s="2"/>
      <c r="L54" s="7">
        <f t="shared" si="16"/>
        <v>29.992615384614993</v>
      </c>
      <c r="M54" s="2"/>
      <c r="N54" s="6">
        <f t="shared" si="17"/>
        <v>0.1611748988068443</v>
      </c>
      <c r="O54" s="11"/>
      <c r="P54" s="7">
        <v>3227.67</v>
      </c>
      <c r="Q54" s="2"/>
      <c r="R54" s="6">
        <f t="shared" si="18"/>
        <v>1.7518984368189865E-2</v>
      </c>
      <c r="S54" s="2"/>
      <c r="T54" s="7">
        <v>1602.4466153846179</v>
      </c>
      <c r="U54" s="2"/>
      <c r="V54" s="6">
        <f t="shared" si="19"/>
        <v>4.1865243385191828E-3</v>
      </c>
      <c r="W54" s="2"/>
      <c r="X54" s="7">
        <f t="shared" si="20"/>
        <v>1625.2233846153822</v>
      </c>
      <c r="Y54" s="2"/>
      <c r="Z54" s="6">
        <f t="shared" si="21"/>
        <v>1.0142137460381464</v>
      </c>
    </row>
    <row r="55" spans="1:26" s="24" customFormat="1" hidden="1" outlineLevel="2" x14ac:dyDescent="0.25">
      <c r="A55" s="27"/>
      <c r="B55" s="11" t="str">
        <f>CONCATENATE("          ", "6156", " - ", "EMPLOYEE MEALS")</f>
        <v xml:space="preserve">          6156 - EMPLOYEE MEALS</v>
      </c>
      <c r="C55" s="11"/>
      <c r="D55" s="7">
        <v>93.55</v>
      </c>
      <c r="E55" s="2"/>
      <c r="F55" s="6">
        <f t="shared" si="14"/>
        <v>4.5482788496039039E-3</v>
      </c>
      <c r="G55" s="2"/>
      <c r="H55" s="7">
        <v>175</v>
      </c>
      <c r="I55" s="2"/>
      <c r="J55" s="6">
        <f t="shared" si="15"/>
        <v>4.2323691593305597E-3</v>
      </c>
      <c r="K55" s="2"/>
      <c r="L55" s="7">
        <f t="shared" si="16"/>
        <v>-81.45</v>
      </c>
      <c r="M55" s="2"/>
      <c r="N55" s="6">
        <f t="shared" si="17"/>
        <v>-0.46542857142857147</v>
      </c>
      <c r="O55" s="11"/>
      <c r="P55" s="7">
        <v>1222.72</v>
      </c>
      <c r="Q55" s="2"/>
      <c r="R55" s="6">
        <f t="shared" si="18"/>
        <v>6.6366179214954173E-3</v>
      </c>
      <c r="S55" s="2"/>
      <c r="T55" s="7">
        <v>1400</v>
      </c>
      <c r="U55" s="2"/>
      <c r="V55" s="6">
        <f t="shared" si="19"/>
        <v>3.6576158092605608E-3</v>
      </c>
      <c r="W55" s="2"/>
      <c r="X55" s="7">
        <f t="shared" si="20"/>
        <v>-177.27999999999997</v>
      </c>
      <c r="Y55" s="2"/>
      <c r="Z55" s="6">
        <f t="shared" si="21"/>
        <v>-0.1266285714285714</v>
      </c>
    </row>
    <row r="56" spans="1:26" s="28" customFormat="1" outlineLevel="1" collapsed="1" x14ac:dyDescent="0.25">
      <c r="A56" s="29"/>
      <c r="B56" s="14" t="str">
        <f>CONCATENATE("     ","*Payroll                                          ")</f>
        <v xml:space="preserve">     *Payroll                                          </v>
      </c>
      <c r="C56" s="14"/>
      <c r="D56" s="1">
        <f>SUM(OSRRefD22_1x_0)</f>
        <v>7815.2500000000009</v>
      </c>
      <c r="E56" s="1"/>
      <c r="F56" s="5">
        <f t="shared" ref="F56:F66" si="22">IF(D$12=0,0,D56/D$12)</f>
        <v>0.37996725044753515</v>
      </c>
      <c r="G56" s="1"/>
      <c r="H56" s="1">
        <f>SUM(OSRRefH22_1x_0)</f>
        <v>9005.2769230769209</v>
      </c>
      <c r="I56" s="1"/>
      <c r="J56" s="5">
        <f t="shared" ref="J56:J66" si="23">IF(H$12=0,0,H56/H$12)</f>
        <v>0.21779232183121119</v>
      </c>
      <c r="K56" s="1"/>
      <c r="L56" s="1">
        <f t="shared" ref="L56:L66" si="24">+D56-H56</f>
        <v>-1190.02692307692</v>
      </c>
      <c r="M56" s="1"/>
      <c r="N56" s="5">
        <f t="shared" ref="N56:N66" si="25">IF(H56=0,0,L56/H56)</f>
        <v>-0.13214773218437706</v>
      </c>
      <c r="O56" s="14"/>
      <c r="P56" s="1">
        <f>SUM(OSRRefP22_1x_0)</f>
        <v>65791.88</v>
      </c>
      <c r="Q56" s="1"/>
      <c r="R56" s="5">
        <f t="shared" ref="R56:R66" si="26">IF(P$12=0,0,P56/P$12)</f>
        <v>0.35710184661809402</v>
      </c>
      <c r="S56" s="1"/>
      <c r="T56" s="1">
        <f>SUM(OSRRefT22_1x_0)</f>
        <v>76214.373076923046</v>
      </c>
      <c r="U56" s="1"/>
      <c r="V56" s="5">
        <f t="shared" ref="V56:V66" si="27">IF(T$12=0,0,T56/T$12)</f>
        <v>0.19911635418502585</v>
      </c>
      <c r="W56" s="1"/>
      <c r="X56" s="1">
        <f t="shared" ref="X56:X66" si="28">+P56-T56</f>
        <v>-10422.493076923041</v>
      </c>
      <c r="Y56" s="1"/>
      <c r="Z56" s="5">
        <f t="shared" ref="Z56:Z66" si="29">IF(T56=0,0,X56/T56)</f>
        <v>-0.13675232972662041</v>
      </c>
    </row>
    <row r="57" spans="1:26" s="24" customFormat="1" hidden="1" outlineLevel="2" x14ac:dyDescent="0.25">
      <c r="A57" s="27"/>
      <c r="B57" s="11" t="str">
        <f>CONCATENATE("          ", "6001", " - ", "ADMINISTRATIVE SALARIES")</f>
        <v xml:space="preserve">          6001 - ADMINISTRATIVE SALARIES</v>
      </c>
      <c r="C57" s="11"/>
      <c r="D57" s="7"/>
      <c r="E57" s="2"/>
      <c r="F57" s="6">
        <f t="shared" si="22"/>
        <v>0</v>
      </c>
      <c r="G57" s="2"/>
      <c r="H57" s="7">
        <v>0</v>
      </c>
      <c r="I57" s="2"/>
      <c r="J57" s="6">
        <f t="shared" si="23"/>
        <v>0</v>
      </c>
      <c r="K57" s="2"/>
      <c r="L57" s="7">
        <f t="shared" si="24"/>
        <v>0</v>
      </c>
      <c r="M57" s="2"/>
      <c r="N57" s="6">
        <f t="shared" si="25"/>
        <v>0</v>
      </c>
      <c r="O57" s="11"/>
      <c r="P57" s="7"/>
      <c r="Q57" s="2"/>
      <c r="R57" s="6">
        <f t="shared" si="26"/>
        <v>0</v>
      </c>
      <c r="S57" s="2"/>
      <c r="T57" s="7">
        <v>0</v>
      </c>
      <c r="U57" s="2"/>
      <c r="V57" s="6">
        <f t="shared" si="27"/>
        <v>0</v>
      </c>
      <c r="W57" s="2"/>
      <c r="X57" s="7">
        <f t="shared" si="28"/>
        <v>0</v>
      </c>
      <c r="Y57" s="2"/>
      <c r="Z57" s="6">
        <f t="shared" si="29"/>
        <v>0</v>
      </c>
    </row>
    <row r="58" spans="1:26" s="24" customFormat="1" hidden="1" outlineLevel="2" x14ac:dyDescent="0.25">
      <c r="A58" s="27"/>
      <c r="B58" s="11" t="str">
        <f>CONCATENATE("          ", "6002", " - ", "STAFF SALARIES")</f>
        <v xml:space="preserve">          6002 - STAFF SALARIES</v>
      </c>
      <c r="C58" s="11"/>
      <c r="D58" s="7">
        <v>4525.38</v>
      </c>
      <c r="E58" s="2"/>
      <c r="F58" s="6">
        <f t="shared" si="22"/>
        <v>0.22001806670679333</v>
      </c>
      <c r="G58" s="2"/>
      <c r="H58" s="7">
        <v>2108.0769230769201</v>
      </c>
      <c r="I58" s="2"/>
      <c r="J58" s="6">
        <f t="shared" si="23"/>
        <v>5.0983770027012675E-2</v>
      </c>
      <c r="K58" s="2"/>
      <c r="L58" s="7">
        <f t="shared" si="24"/>
        <v>2417.30307692308</v>
      </c>
      <c r="M58" s="2"/>
      <c r="N58" s="6">
        <f t="shared" si="25"/>
        <v>1.1466863711001674</v>
      </c>
      <c r="O58" s="11"/>
      <c r="P58" s="7">
        <v>38095.26</v>
      </c>
      <c r="Q58" s="2"/>
      <c r="R58" s="6">
        <f t="shared" si="26"/>
        <v>0.20677153006414184</v>
      </c>
      <c r="S58" s="2"/>
      <c r="T58" s="7">
        <v>18445.673076923049</v>
      </c>
      <c r="U58" s="2"/>
      <c r="V58" s="6">
        <f t="shared" si="27"/>
        <v>4.8190846756146884E-2</v>
      </c>
      <c r="W58" s="2"/>
      <c r="X58" s="7">
        <f t="shared" si="28"/>
        <v>19649.586923076953</v>
      </c>
      <c r="Y58" s="2"/>
      <c r="Z58" s="6">
        <f t="shared" si="29"/>
        <v>1.0652680897646447</v>
      </c>
    </row>
    <row r="59" spans="1:26" s="24" customFormat="1" hidden="1" outlineLevel="2" x14ac:dyDescent="0.25">
      <c r="A59" s="27"/>
      <c r="B59" s="11" t="str">
        <f>CONCATENATE("          ", "6003", " - ", "STAFF HOURLY-9 MONTH")</f>
        <v xml:space="preserve">          6003 - STAFF HOURLY-9 MONTH</v>
      </c>
      <c r="C59" s="11"/>
      <c r="D59" s="7"/>
      <c r="E59" s="2"/>
      <c r="F59" s="6">
        <f t="shared" si="22"/>
        <v>0</v>
      </c>
      <c r="G59" s="2"/>
      <c r="H59" s="7">
        <v>0</v>
      </c>
      <c r="I59" s="2"/>
      <c r="J59" s="6">
        <f t="shared" si="23"/>
        <v>0</v>
      </c>
      <c r="K59" s="2"/>
      <c r="L59" s="7">
        <f t="shared" si="24"/>
        <v>0</v>
      </c>
      <c r="M59" s="2"/>
      <c r="N59" s="6">
        <f t="shared" si="25"/>
        <v>0</v>
      </c>
      <c r="O59" s="11"/>
      <c r="P59" s="7"/>
      <c r="Q59" s="2"/>
      <c r="R59" s="6">
        <f t="shared" si="26"/>
        <v>0</v>
      </c>
      <c r="S59" s="2"/>
      <c r="T59" s="7">
        <v>0</v>
      </c>
      <c r="U59" s="2"/>
      <c r="V59" s="6">
        <f t="shared" si="27"/>
        <v>0</v>
      </c>
      <c r="W59" s="2"/>
      <c r="X59" s="7">
        <f t="shared" si="28"/>
        <v>0</v>
      </c>
      <c r="Y59" s="2"/>
      <c r="Z59" s="6">
        <f t="shared" si="29"/>
        <v>0</v>
      </c>
    </row>
    <row r="60" spans="1:26" s="24" customFormat="1" hidden="1" outlineLevel="2" x14ac:dyDescent="0.25">
      <c r="A60" s="27"/>
      <c r="B60" s="11" t="str">
        <f>CONCATENATE("          ", "6004", " - ", "STAFF HOURLY")</f>
        <v xml:space="preserve">          6004 - STAFF HOURLY</v>
      </c>
      <c r="C60" s="11"/>
      <c r="D60" s="7"/>
      <c r="E60" s="2"/>
      <c r="F60" s="6">
        <f t="shared" si="22"/>
        <v>0</v>
      </c>
      <c r="G60" s="2"/>
      <c r="H60" s="7">
        <v>1359.6</v>
      </c>
      <c r="I60" s="2"/>
      <c r="J60" s="6">
        <f t="shared" si="23"/>
        <v>3.288188062300474E-2</v>
      </c>
      <c r="K60" s="2"/>
      <c r="L60" s="7">
        <f t="shared" si="24"/>
        <v>-1359.6</v>
      </c>
      <c r="M60" s="2"/>
      <c r="N60" s="6">
        <f t="shared" si="25"/>
        <v>-1</v>
      </c>
      <c r="O60" s="11"/>
      <c r="P60" s="7">
        <v>3456.21</v>
      </c>
      <c r="Q60" s="2"/>
      <c r="R60" s="6">
        <f t="shared" si="26"/>
        <v>1.8759442248799132E-2</v>
      </c>
      <c r="S60" s="2"/>
      <c r="T60" s="7">
        <v>11639.1</v>
      </c>
      <c r="U60" s="2"/>
      <c r="V60" s="6">
        <f t="shared" si="27"/>
        <v>3.0408111546831852E-2</v>
      </c>
      <c r="W60" s="2"/>
      <c r="X60" s="7">
        <f t="shared" si="28"/>
        <v>-8182.89</v>
      </c>
      <c r="Y60" s="2"/>
      <c r="Z60" s="6">
        <f t="shared" si="29"/>
        <v>-0.70305178235430577</v>
      </c>
    </row>
    <row r="61" spans="1:26" s="24" customFormat="1" hidden="1" outlineLevel="2" x14ac:dyDescent="0.25">
      <c r="A61" s="27"/>
      <c r="B61" s="11" t="str">
        <f>CONCATENATE("          ", "6005", " - ", "TEMPORARY WAGES-HOURLY")</f>
        <v xml:space="preserve">          6005 - TEMPORARY WAGES-HOURLY</v>
      </c>
      <c r="C61" s="11"/>
      <c r="D61" s="7">
        <v>1718.15</v>
      </c>
      <c r="E61" s="2"/>
      <c r="F61" s="6">
        <f t="shared" si="22"/>
        <v>8.3534209571854062E-2</v>
      </c>
      <c r="G61" s="2"/>
      <c r="H61" s="7">
        <v>0</v>
      </c>
      <c r="I61" s="2"/>
      <c r="J61" s="6">
        <f t="shared" si="23"/>
        <v>0</v>
      </c>
      <c r="K61" s="2"/>
      <c r="L61" s="7">
        <f t="shared" si="24"/>
        <v>1718.15</v>
      </c>
      <c r="M61" s="2"/>
      <c r="N61" s="6">
        <f t="shared" si="25"/>
        <v>0</v>
      </c>
      <c r="O61" s="11"/>
      <c r="P61" s="7">
        <v>11608.8</v>
      </c>
      <c r="Q61" s="2"/>
      <c r="R61" s="6">
        <f t="shared" si="26"/>
        <v>6.3009658897422133E-2</v>
      </c>
      <c r="S61" s="2"/>
      <c r="T61" s="7">
        <v>0</v>
      </c>
      <c r="U61" s="2"/>
      <c r="V61" s="6">
        <f t="shared" si="27"/>
        <v>0</v>
      </c>
      <c r="W61" s="2"/>
      <c r="X61" s="7">
        <f t="shared" si="28"/>
        <v>11608.8</v>
      </c>
      <c r="Y61" s="2"/>
      <c r="Z61" s="6">
        <f t="shared" si="29"/>
        <v>0</v>
      </c>
    </row>
    <row r="62" spans="1:26" s="24" customFormat="1" hidden="1" outlineLevel="2" x14ac:dyDescent="0.25">
      <c r="A62" s="27"/>
      <c r="B62" s="11" t="str">
        <f>CONCATENATE("          ", "6006", " - ", "TEMPORARY PART TIME")</f>
        <v xml:space="preserve">          6006 - TEMPORARY PART TIME</v>
      </c>
      <c r="C62" s="11"/>
      <c r="D62" s="7">
        <v>303.64</v>
      </c>
      <c r="E62" s="2"/>
      <c r="F62" s="6">
        <f t="shared" si="22"/>
        <v>1.4762580330237619E-2</v>
      </c>
      <c r="G62" s="2"/>
      <c r="H62" s="7">
        <v>0</v>
      </c>
      <c r="I62" s="2"/>
      <c r="J62" s="6">
        <f t="shared" si="23"/>
        <v>0</v>
      </c>
      <c r="K62" s="2"/>
      <c r="L62" s="7">
        <f t="shared" si="24"/>
        <v>303.64</v>
      </c>
      <c r="M62" s="2"/>
      <c r="N62" s="6">
        <f t="shared" si="25"/>
        <v>0</v>
      </c>
      <c r="O62" s="11"/>
      <c r="P62" s="7">
        <v>303.64</v>
      </c>
      <c r="Q62" s="2"/>
      <c r="R62" s="6">
        <f t="shared" si="26"/>
        <v>1.6480818713056696E-3</v>
      </c>
      <c r="S62" s="2"/>
      <c r="T62" s="7">
        <v>0</v>
      </c>
      <c r="U62" s="2"/>
      <c r="V62" s="6">
        <f t="shared" si="27"/>
        <v>0</v>
      </c>
      <c r="W62" s="2"/>
      <c r="X62" s="7">
        <f t="shared" si="28"/>
        <v>303.64</v>
      </c>
      <c r="Y62" s="2"/>
      <c r="Z62" s="6">
        <f t="shared" si="29"/>
        <v>0</v>
      </c>
    </row>
    <row r="63" spans="1:26" s="24" customFormat="1" hidden="1" outlineLevel="2" x14ac:dyDescent="0.25">
      <c r="A63" s="27"/>
      <c r="B63" s="11" t="str">
        <f>CONCATENATE("          ", "6007", " - ", "STUDENT HOURLY")</f>
        <v xml:space="preserve">          6007 - STUDENT HOURLY</v>
      </c>
      <c r="C63" s="11"/>
      <c r="D63" s="7">
        <v>1268.08</v>
      </c>
      <c r="E63" s="2"/>
      <c r="F63" s="6">
        <f t="shared" si="22"/>
        <v>6.1652393838650114E-2</v>
      </c>
      <c r="G63" s="2"/>
      <c r="H63" s="7">
        <v>0</v>
      </c>
      <c r="I63" s="2"/>
      <c r="J63" s="6">
        <f t="shared" si="23"/>
        <v>0</v>
      </c>
      <c r="K63" s="2"/>
      <c r="L63" s="7">
        <f t="shared" si="24"/>
        <v>1268.08</v>
      </c>
      <c r="M63" s="2"/>
      <c r="N63" s="6">
        <f t="shared" si="25"/>
        <v>0</v>
      </c>
      <c r="O63" s="11"/>
      <c r="P63" s="7">
        <v>10408.94</v>
      </c>
      <c r="Q63" s="2"/>
      <c r="R63" s="6">
        <f t="shared" si="26"/>
        <v>5.6497119330484916E-2</v>
      </c>
      <c r="S63" s="2"/>
      <c r="T63" s="7">
        <v>11655</v>
      </c>
      <c r="U63" s="2"/>
      <c r="V63" s="6">
        <f t="shared" si="27"/>
        <v>3.0449651612094168E-2</v>
      </c>
      <c r="W63" s="2"/>
      <c r="X63" s="7">
        <f t="shared" si="28"/>
        <v>-1246.0599999999995</v>
      </c>
      <c r="Y63" s="2"/>
      <c r="Z63" s="6">
        <f t="shared" si="29"/>
        <v>-0.10691205491205487</v>
      </c>
    </row>
    <row r="64" spans="1:26" s="24" customFormat="1" hidden="1" outlineLevel="2" x14ac:dyDescent="0.25">
      <c r="A64" s="27"/>
      <c r="B64" s="11" t="str">
        <f>CONCATENATE("          ", "6008", " - ", "STUDENT HOURLY-FICA EXEMPT")</f>
        <v xml:space="preserve">          6008 - STUDENT HOURLY-FICA EXEMPT</v>
      </c>
      <c r="C64" s="11"/>
      <c r="D64" s="7"/>
      <c r="E64" s="2"/>
      <c r="F64" s="6">
        <f t="shared" si="22"/>
        <v>0</v>
      </c>
      <c r="G64" s="2"/>
      <c r="H64" s="7">
        <v>5537.6</v>
      </c>
      <c r="I64" s="2"/>
      <c r="J64" s="6">
        <f t="shared" si="23"/>
        <v>0.13392667118119378</v>
      </c>
      <c r="K64" s="2"/>
      <c r="L64" s="7">
        <f t="shared" si="24"/>
        <v>-5537.6</v>
      </c>
      <c r="M64" s="2"/>
      <c r="N64" s="6">
        <f t="shared" si="25"/>
        <v>-1</v>
      </c>
      <c r="O64" s="11"/>
      <c r="P64" s="7">
        <v>1919.03</v>
      </c>
      <c r="Q64" s="2"/>
      <c r="R64" s="6">
        <f t="shared" si="26"/>
        <v>1.0416014205940322E-2</v>
      </c>
      <c r="S64" s="2"/>
      <c r="T64" s="7">
        <v>34474.6</v>
      </c>
      <c r="U64" s="2"/>
      <c r="V64" s="6">
        <f t="shared" si="27"/>
        <v>9.006774426995294E-2</v>
      </c>
      <c r="W64" s="2"/>
      <c r="X64" s="7">
        <f t="shared" si="28"/>
        <v>-32555.57</v>
      </c>
      <c r="Y64" s="2"/>
      <c r="Z64" s="6">
        <f t="shared" si="29"/>
        <v>-0.94433495965145353</v>
      </c>
    </row>
    <row r="65" spans="1:26" s="24" customFormat="1" hidden="1" outlineLevel="2" x14ac:dyDescent="0.25">
      <c r="A65" s="27"/>
      <c r="B65" s="11" t="str">
        <f>CONCATENATE("          ", "6009", " - ", "TEMPORARY-SEASONAL")</f>
        <v xml:space="preserve">          6009 - TEMPORARY-SEASONAL</v>
      </c>
      <c r="C65" s="11"/>
      <c r="D65" s="7"/>
      <c r="E65" s="2"/>
      <c r="F65" s="6">
        <f t="shared" si="22"/>
        <v>0</v>
      </c>
      <c r="G65" s="2"/>
      <c r="H65" s="7">
        <v>0</v>
      </c>
      <c r="I65" s="2"/>
      <c r="J65" s="6">
        <f t="shared" si="23"/>
        <v>0</v>
      </c>
      <c r="K65" s="2"/>
      <c r="L65" s="7">
        <f t="shared" si="24"/>
        <v>0</v>
      </c>
      <c r="M65" s="2"/>
      <c r="N65" s="6">
        <f t="shared" si="25"/>
        <v>0</v>
      </c>
      <c r="O65" s="11"/>
      <c r="P65" s="7"/>
      <c r="Q65" s="2"/>
      <c r="R65" s="6">
        <f t="shared" si="26"/>
        <v>0</v>
      </c>
      <c r="S65" s="2"/>
      <c r="T65" s="7">
        <v>0</v>
      </c>
      <c r="U65" s="2"/>
      <c r="V65" s="6">
        <f t="shared" si="27"/>
        <v>0</v>
      </c>
      <c r="W65" s="2"/>
      <c r="X65" s="7">
        <f t="shared" si="28"/>
        <v>0</v>
      </c>
      <c r="Y65" s="2"/>
      <c r="Z65" s="6">
        <f t="shared" si="29"/>
        <v>0</v>
      </c>
    </row>
    <row r="66" spans="1:26" s="24" customFormat="1" hidden="1" outlineLevel="2" x14ac:dyDescent="0.25">
      <c r="A66" s="27"/>
      <c r="B66" s="11" t="str">
        <f>CONCATENATE("          ", "6010", " - ", "GRATUITY")</f>
        <v xml:space="preserve">          6010 - GRATUITY</v>
      </c>
      <c r="C66" s="11"/>
      <c r="D66" s="7"/>
      <c r="E66" s="2"/>
      <c r="F66" s="6">
        <f t="shared" si="22"/>
        <v>0</v>
      </c>
      <c r="G66" s="2"/>
      <c r="H66" s="7">
        <v>0</v>
      </c>
      <c r="I66" s="2"/>
      <c r="J66" s="6">
        <f t="shared" si="23"/>
        <v>0</v>
      </c>
      <c r="K66" s="2"/>
      <c r="L66" s="7">
        <f t="shared" si="24"/>
        <v>0</v>
      </c>
      <c r="M66" s="2"/>
      <c r="N66" s="6">
        <f t="shared" si="25"/>
        <v>0</v>
      </c>
      <c r="O66" s="11"/>
      <c r="P66" s="7"/>
      <c r="Q66" s="2"/>
      <c r="R66" s="6">
        <f t="shared" si="26"/>
        <v>0</v>
      </c>
      <c r="S66" s="2"/>
      <c r="T66" s="7">
        <v>0</v>
      </c>
      <c r="U66" s="2"/>
      <c r="V66" s="6">
        <f t="shared" si="27"/>
        <v>0</v>
      </c>
      <c r="W66" s="2"/>
      <c r="X66" s="7">
        <f t="shared" si="28"/>
        <v>0</v>
      </c>
      <c r="Y66" s="2"/>
      <c r="Z66" s="6">
        <f t="shared" si="29"/>
        <v>0</v>
      </c>
    </row>
    <row r="67" spans="1:26" s="28" customFormat="1" outlineLevel="1" collapsed="1" x14ac:dyDescent="0.25">
      <c r="A67" s="29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0</v>
      </c>
      <c r="E67" s="1"/>
      <c r="F67" s="5">
        <f t="shared" ref="F67:F81" si="30">IF(D$12=0,0,D67/D$12)</f>
        <v>0</v>
      </c>
      <c r="G67" s="1"/>
      <c r="H67" s="1">
        <f>SUM(OSRRefH22_2x_0)</f>
        <v>50</v>
      </c>
      <c r="I67" s="1"/>
      <c r="J67" s="5">
        <f t="shared" ref="J67:J81" si="31">IF(H$12=0,0,H67/H$12)</f>
        <v>1.2092483312373028E-3</v>
      </c>
      <c r="K67" s="1"/>
      <c r="L67" s="1">
        <f t="shared" ref="L67:L81" si="32">+D67-H67</f>
        <v>-50</v>
      </c>
      <c r="M67" s="1"/>
      <c r="N67" s="5">
        <f t="shared" ref="N67:N81" si="33">IF(H67=0,0,L67/H67)</f>
        <v>-1</v>
      </c>
      <c r="O67" s="14"/>
      <c r="P67" s="1">
        <f>SUM(OSRRefP22_2x_0)</f>
        <v>1024.2</v>
      </c>
      <c r="Q67" s="1"/>
      <c r="R67" s="5">
        <f t="shared" ref="R67:R81" si="34">IF(P$12=0,0,P67/P$12)</f>
        <v>5.559101082173847E-3</v>
      </c>
      <c r="S67" s="1"/>
      <c r="T67" s="1">
        <f>SUM(OSRRefT22_2x_0)</f>
        <v>400</v>
      </c>
      <c r="U67" s="1"/>
      <c r="V67" s="5">
        <f t="shared" ref="V67:V81" si="35">IF(T$12=0,0,T67/T$12)</f>
        <v>1.0450330883601602E-3</v>
      </c>
      <c r="W67" s="1"/>
      <c r="X67" s="1">
        <f t="shared" ref="X67:X81" si="36">+P67-T67</f>
        <v>624.20000000000005</v>
      </c>
      <c r="Y67" s="1"/>
      <c r="Z67" s="5">
        <f t="shared" ref="Z67:Z81" si="37">IF(T67=0,0,X67/T67)</f>
        <v>1.5605000000000002</v>
      </c>
    </row>
    <row r="68" spans="1:26" s="24" customFormat="1" hidden="1" outlineLevel="2" x14ac:dyDescent="0.25">
      <c r="A68" s="27"/>
      <c r="B68" s="11" t="str">
        <f>CONCATENATE("          ", "6362", " - ", "ADVERTISING EXPENSE")</f>
        <v xml:space="preserve">          6362 - ADVERTISING EXPENSE</v>
      </c>
      <c r="C68" s="11"/>
      <c r="D68" s="7"/>
      <c r="E68" s="2"/>
      <c r="F68" s="6">
        <f t="shared" si="30"/>
        <v>0</v>
      </c>
      <c r="G68" s="2"/>
      <c r="H68" s="7">
        <v>50</v>
      </c>
      <c r="I68" s="2"/>
      <c r="J68" s="6">
        <f t="shared" si="31"/>
        <v>1.2092483312373028E-3</v>
      </c>
      <c r="K68" s="2"/>
      <c r="L68" s="7">
        <f t="shared" si="32"/>
        <v>-50</v>
      </c>
      <c r="M68" s="2"/>
      <c r="N68" s="6">
        <f t="shared" si="33"/>
        <v>-1</v>
      </c>
      <c r="O68" s="11"/>
      <c r="P68" s="7">
        <v>1024.2</v>
      </c>
      <c r="Q68" s="2"/>
      <c r="R68" s="6">
        <f t="shared" si="34"/>
        <v>5.559101082173847E-3</v>
      </c>
      <c r="S68" s="2"/>
      <c r="T68" s="7">
        <v>400</v>
      </c>
      <c r="U68" s="2"/>
      <c r="V68" s="6">
        <f t="shared" si="35"/>
        <v>1.0450330883601602E-3</v>
      </c>
      <c r="W68" s="2"/>
      <c r="X68" s="7">
        <f t="shared" si="36"/>
        <v>624.20000000000005</v>
      </c>
      <c r="Y68" s="2"/>
      <c r="Z68" s="6">
        <f t="shared" si="37"/>
        <v>1.5605000000000002</v>
      </c>
    </row>
    <row r="69" spans="1:26" s="28" customFormat="1" outlineLevel="1" collapsed="1" x14ac:dyDescent="0.25">
      <c r="A69" s="29"/>
      <c r="B69" s="14" t="str">
        <f>CONCATENATE("     ","Bad Debts/Over/Short                              ")</f>
        <v xml:space="preserve">     Bad Debts/Over/Short                              </v>
      </c>
      <c r="C69" s="14"/>
      <c r="D69" s="1">
        <f>SUM(OSRRefD22_3x_0)</f>
        <v>-1.1499999999999999</v>
      </c>
      <c r="E69" s="1"/>
      <c r="F69" s="5">
        <f t="shared" si="30"/>
        <v>-5.5911498418433879E-5</v>
      </c>
      <c r="G69" s="1"/>
      <c r="H69" s="1">
        <f>SUM(OSRRefH22_3x_0)</f>
        <v>10</v>
      </c>
      <c r="I69" s="1"/>
      <c r="J69" s="5">
        <f t="shared" si="31"/>
        <v>2.4184966624746058E-4</v>
      </c>
      <c r="K69" s="1"/>
      <c r="L69" s="1">
        <f t="shared" si="32"/>
        <v>-11.15</v>
      </c>
      <c r="M69" s="1"/>
      <c r="N69" s="5">
        <f t="shared" si="33"/>
        <v>-1.115</v>
      </c>
      <c r="O69" s="14"/>
      <c r="P69" s="1">
        <f>SUM(OSRRefP22_3x_0)</f>
        <v>-2.95</v>
      </c>
      <c r="Q69" s="1"/>
      <c r="R69" s="5">
        <f t="shared" si="34"/>
        <v>-1.6011861152521823E-5</v>
      </c>
      <c r="S69" s="1"/>
      <c r="T69" s="1">
        <f>SUM(OSRRefT22_3x_0)</f>
        <v>80</v>
      </c>
      <c r="U69" s="1"/>
      <c r="V69" s="5">
        <f t="shared" si="35"/>
        <v>2.0900661767203204E-4</v>
      </c>
      <c r="W69" s="1"/>
      <c r="X69" s="1">
        <f t="shared" si="36"/>
        <v>-82.95</v>
      </c>
      <c r="Y69" s="1"/>
      <c r="Z69" s="5">
        <f t="shared" si="37"/>
        <v>-1.036875</v>
      </c>
    </row>
    <row r="70" spans="1:26" s="24" customFormat="1" hidden="1" outlineLevel="2" x14ac:dyDescent="0.25">
      <c r="A70" s="27"/>
      <c r="B70" s="11" t="str">
        <f>CONCATENATE("          ", "6272", " - ", "CASH (OVER/SHORT)")</f>
        <v xml:space="preserve">          6272 - CASH (OVER/SHORT)</v>
      </c>
      <c r="C70" s="11"/>
      <c r="D70" s="7">
        <v>-1.1499999999999999</v>
      </c>
      <c r="E70" s="2"/>
      <c r="F70" s="6">
        <f t="shared" si="30"/>
        <v>-5.5911498418433879E-5</v>
      </c>
      <c r="G70" s="2"/>
      <c r="H70" s="7">
        <v>10</v>
      </c>
      <c r="I70" s="2"/>
      <c r="J70" s="6">
        <f t="shared" si="31"/>
        <v>2.4184966624746058E-4</v>
      </c>
      <c r="K70" s="2"/>
      <c r="L70" s="7">
        <f t="shared" si="32"/>
        <v>-11.15</v>
      </c>
      <c r="M70" s="2"/>
      <c r="N70" s="6">
        <f t="shared" si="33"/>
        <v>-1.115</v>
      </c>
      <c r="O70" s="11"/>
      <c r="P70" s="7">
        <v>-2.95</v>
      </c>
      <c r="Q70" s="2"/>
      <c r="R70" s="6">
        <f t="shared" si="34"/>
        <v>-1.6011861152521823E-5</v>
      </c>
      <c r="S70" s="2"/>
      <c r="T70" s="7">
        <v>80</v>
      </c>
      <c r="U70" s="2"/>
      <c r="V70" s="6">
        <f t="shared" si="35"/>
        <v>2.0900661767203204E-4</v>
      </c>
      <c r="W70" s="2"/>
      <c r="X70" s="7">
        <f t="shared" si="36"/>
        <v>-82.95</v>
      </c>
      <c r="Y70" s="2"/>
      <c r="Z70" s="6">
        <f t="shared" si="37"/>
        <v>-1.036875</v>
      </c>
    </row>
    <row r="71" spans="1:26" s="28" customFormat="1" outlineLevel="1" collapsed="1" x14ac:dyDescent="0.25">
      <c r="A71" s="29"/>
      <c r="B71" s="14" t="str">
        <f>CONCATENATE("     ","Bank/card Fees                                    ")</f>
        <v xml:space="preserve">     Bank/card Fees                                    </v>
      </c>
      <c r="C71" s="14"/>
      <c r="D71" s="1">
        <f>SUM(OSRRefD22_4x_0)</f>
        <v>308.72000000000003</v>
      </c>
      <c r="E71" s="1"/>
      <c r="F71" s="5">
        <f t="shared" si="30"/>
        <v>1.5009563297164269E-2</v>
      </c>
      <c r="G71" s="1"/>
      <c r="H71" s="1">
        <f>SUM(OSRRefH22_4x_0)</f>
        <v>600</v>
      </c>
      <c r="I71" s="1"/>
      <c r="J71" s="5">
        <f t="shared" si="31"/>
        <v>1.4510979974847635E-2</v>
      </c>
      <c r="K71" s="1"/>
      <c r="L71" s="1">
        <f t="shared" si="32"/>
        <v>-291.27999999999997</v>
      </c>
      <c r="M71" s="1"/>
      <c r="N71" s="5">
        <f t="shared" si="33"/>
        <v>-0.4854666666666666</v>
      </c>
      <c r="O71" s="14"/>
      <c r="P71" s="1">
        <f>SUM(OSRRefP22_4x_0)</f>
        <v>2867.73</v>
      </c>
      <c r="Q71" s="1"/>
      <c r="R71" s="5">
        <f t="shared" si="34"/>
        <v>1.5565320197600475E-2</v>
      </c>
      <c r="S71" s="1"/>
      <c r="T71" s="1">
        <f>SUM(OSRRefT22_4x_0)</f>
        <v>5586</v>
      </c>
      <c r="U71" s="1"/>
      <c r="V71" s="5">
        <f t="shared" si="35"/>
        <v>1.4593887078949637E-2</v>
      </c>
      <c r="W71" s="1"/>
      <c r="X71" s="1">
        <f t="shared" si="36"/>
        <v>-2718.27</v>
      </c>
      <c r="Y71" s="1"/>
      <c r="Z71" s="5">
        <f t="shared" si="37"/>
        <v>-0.4866219119226638</v>
      </c>
    </row>
    <row r="72" spans="1:26" s="24" customFormat="1" hidden="1" outlineLevel="2" x14ac:dyDescent="0.25">
      <c r="A72" s="27"/>
      <c r="B72" s="11" t="str">
        <f>CONCATENATE("          ", "6381", " - ", "BANK/CREDIT CARD FEES")</f>
        <v xml:space="preserve">          6381 - BANK/CREDIT CARD FEES</v>
      </c>
      <c r="C72" s="11"/>
      <c r="D72" s="7">
        <v>308.72000000000003</v>
      </c>
      <c r="E72" s="2"/>
      <c r="F72" s="6">
        <f t="shared" si="30"/>
        <v>1.5009563297164269E-2</v>
      </c>
      <c r="G72" s="2"/>
      <c r="H72" s="7">
        <v>600</v>
      </c>
      <c r="I72" s="2"/>
      <c r="J72" s="6">
        <f t="shared" si="31"/>
        <v>1.4510979974847635E-2</v>
      </c>
      <c r="K72" s="2"/>
      <c r="L72" s="7">
        <f t="shared" si="32"/>
        <v>-291.27999999999997</v>
      </c>
      <c r="M72" s="2"/>
      <c r="N72" s="6">
        <f t="shared" si="33"/>
        <v>-0.4854666666666666</v>
      </c>
      <c r="O72" s="11"/>
      <c r="P72" s="7">
        <v>2867.73</v>
      </c>
      <c r="Q72" s="2"/>
      <c r="R72" s="6">
        <f t="shared" si="34"/>
        <v>1.5565320197600475E-2</v>
      </c>
      <c r="S72" s="2"/>
      <c r="T72" s="7">
        <v>5586</v>
      </c>
      <c r="U72" s="2"/>
      <c r="V72" s="6">
        <f t="shared" si="35"/>
        <v>1.4593887078949637E-2</v>
      </c>
      <c r="W72" s="2"/>
      <c r="X72" s="7">
        <f t="shared" si="36"/>
        <v>-2718.27</v>
      </c>
      <c r="Y72" s="2"/>
      <c r="Z72" s="6">
        <f t="shared" si="37"/>
        <v>-0.4866219119226638</v>
      </c>
    </row>
    <row r="73" spans="1:26" s="28" customFormat="1" outlineLevel="1" collapsed="1" x14ac:dyDescent="0.25">
      <c r="A73" s="29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SUM(OSRRefD22_5x_0)</f>
        <v>0</v>
      </c>
      <c r="E73" s="1"/>
      <c r="F73" s="5">
        <f t="shared" si="30"/>
        <v>0</v>
      </c>
      <c r="G73" s="1"/>
      <c r="H73" s="1">
        <f>SUM(OSRRefH22_5x_0)</f>
        <v>4135</v>
      </c>
      <c r="I73" s="1"/>
      <c r="J73" s="5">
        <f t="shared" si="31"/>
        <v>0.10000483699332495</v>
      </c>
      <c r="K73" s="1"/>
      <c r="L73" s="1">
        <f t="shared" si="32"/>
        <v>-4135</v>
      </c>
      <c r="M73" s="1"/>
      <c r="N73" s="5">
        <f t="shared" si="33"/>
        <v>-1</v>
      </c>
      <c r="O73" s="14"/>
      <c r="P73" s="1">
        <f>SUM(OSRRefP22_5x_0)</f>
        <v>0</v>
      </c>
      <c r="Q73" s="1"/>
      <c r="R73" s="5">
        <f t="shared" si="34"/>
        <v>0</v>
      </c>
      <c r="S73" s="1"/>
      <c r="T73" s="1">
        <f>SUM(OSRRefT22_5x_0)</f>
        <v>38277</v>
      </c>
      <c r="U73" s="1"/>
      <c r="V73" s="5">
        <f t="shared" si="35"/>
        <v>0.10000182880790463</v>
      </c>
      <c r="W73" s="1"/>
      <c r="X73" s="1">
        <f t="shared" si="36"/>
        <v>-38277</v>
      </c>
      <c r="Y73" s="1"/>
      <c r="Z73" s="5">
        <f t="shared" si="37"/>
        <v>-1</v>
      </c>
    </row>
    <row r="74" spans="1:26" s="24" customFormat="1" hidden="1" outlineLevel="2" x14ac:dyDescent="0.25">
      <c r="A74" s="27"/>
      <c r="B74" s="11" t="str">
        <f>CONCATENATE("          ", "6382", " - ", "DISCOUNTS/MARK DOWNS")</f>
        <v xml:space="preserve">          6382 - DISCOUNTS/MARK DOWNS</v>
      </c>
      <c r="C74" s="11"/>
      <c r="D74" s="7"/>
      <c r="E74" s="2"/>
      <c r="F74" s="6">
        <f t="shared" si="30"/>
        <v>0</v>
      </c>
      <c r="G74" s="2"/>
      <c r="H74" s="7">
        <v>4135</v>
      </c>
      <c r="I74" s="2"/>
      <c r="J74" s="6">
        <f t="shared" si="31"/>
        <v>0.10000483699332495</v>
      </c>
      <c r="K74" s="2"/>
      <c r="L74" s="7">
        <f t="shared" si="32"/>
        <v>-4135</v>
      </c>
      <c r="M74" s="2"/>
      <c r="N74" s="6">
        <f t="shared" si="33"/>
        <v>-1</v>
      </c>
      <c r="O74" s="11"/>
      <c r="P74" s="7">
        <v>0</v>
      </c>
      <c r="Q74" s="2"/>
      <c r="R74" s="6">
        <f t="shared" si="34"/>
        <v>0</v>
      </c>
      <c r="S74" s="2"/>
      <c r="T74" s="7">
        <v>38277</v>
      </c>
      <c r="U74" s="2"/>
      <c r="V74" s="6">
        <f t="shared" si="35"/>
        <v>0.10000182880790463</v>
      </c>
      <c r="W74" s="2"/>
      <c r="X74" s="7">
        <f t="shared" si="36"/>
        <v>-38277</v>
      </c>
      <c r="Y74" s="2"/>
      <c r="Z74" s="6">
        <f t="shared" si="37"/>
        <v>-1</v>
      </c>
    </row>
    <row r="75" spans="1:26" s="28" customFormat="1" outlineLevel="1" collapsed="1" x14ac:dyDescent="0.25">
      <c r="A75" s="29"/>
      <c r="B75" s="14" t="str">
        <f>CONCATENATE("     ","Donations                                         ")</f>
        <v xml:space="preserve">     Donations                                         </v>
      </c>
      <c r="C75" s="14"/>
      <c r="D75" s="1">
        <f>SUM(OSRRefD22_6x_0)</f>
        <v>0</v>
      </c>
      <c r="E75" s="1"/>
      <c r="F75" s="5">
        <f t="shared" si="30"/>
        <v>0</v>
      </c>
      <c r="G75" s="1"/>
      <c r="H75" s="1">
        <f>SUM(OSRRefH22_6x_0)</f>
        <v>0</v>
      </c>
      <c r="I75" s="1"/>
      <c r="J75" s="5">
        <f t="shared" si="31"/>
        <v>0</v>
      </c>
      <c r="K75" s="1"/>
      <c r="L75" s="1">
        <f t="shared" si="32"/>
        <v>0</v>
      </c>
      <c r="M75" s="1"/>
      <c r="N75" s="5">
        <f t="shared" si="33"/>
        <v>0</v>
      </c>
      <c r="O75" s="14"/>
      <c r="P75" s="1">
        <f>SUM(OSRRefP22_6x_0)</f>
        <v>0</v>
      </c>
      <c r="Q75" s="1"/>
      <c r="R75" s="5">
        <f t="shared" si="34"/>
        <v>0</v>
      </c>
      <c r="S75" s="1"/>
      <c r="T75" s="1">
        <f>SUM(OSRRefT22_6x_0)</f>
        <v>0</v>
      </c>
      <c r="U75" s="1"/>
      <c r="V75" s="5">
        <f t="shared" si="35"/>
        <v>0</v>
      </c>
      <c r="W75" s="1"/>
      <c r="X75" s="1">
        <f t="shared" si="36"/>
        <v>0</v>
      </c>
      <c r="Y75" s="1"/>
      <c r="Z75" s="5">
        <f t="shared" si="37"/>
        <v>0</v>
      </c>
    </row>
    <row r="76" spans="1:26" s="24" customFormat="1" hidden="1" outlineLevel="2" x14ac:dyDescent="0.25">
      <c r="A76" s="27"/>
      <c r="B76" s="11" t="str">
        <f>CONCATENATE("          ", "6395", " - ", "DONATION-OFF CAMPUS")</f>
        <v xml:space="preserve">          6395 - DONATION-OFF CAMPUS</v>
      </c>
      <c r="C76" s="11"/>
      <c r="D76" s="7"/>
      <c r="E76" s="2"/>
      <c r="F76" s="6">
        <f t="shared" si="30"/>
        <v>0</v>
      </c>
      <c r="G76" s="2"/>
      <c r="H76" s="7"/>
      <c r="I76" s="2"/>
      <c r="J76" s="6">
        <f t="shared" si="31"/>
        <v>0</v>
      </c>
      <c r="K76" s="2"/>
      <c r="L76" s="7">
        <f t="shared" si="32"/>
        <v>0</v>
      </c>
      <c r="M76" s="2"/>
      <c r="N76" s="6">
        <f t="shared" si="33"/>
        <v>0</v>
      </c>
      <c r="O76" s="11"/>
      <c r="P76" s="7"/>
      <c r="Q76" s="2"/>
      <c r="R76" s="6">
        <f t="shared" si="34"/>
        <v>0</v>
      </c>
      <c r="S76" s="2"/>
      <c r="T76" s="7">
        <v>0</v>
      </c>
      <c r="U76" s="2"/>
      <c r="V76" s="6">
        <f t="shared" si="35"/>
        <v>0</v>
      </c>
      <c r="W76" s="2"/>
      <c r="X76" s="7">
        <f t="shared" si="36"/>
        <v>0</v>
      </c>
      <c r="Y76" s="2"/>
      <c r="Z76" s="6">
        <f t="shared" si="37"/>
        <v>0</v>
      </c>
    </row>
    <row r="77" spans="1:26" s="28" customFormat="1" outlineLevel="1" collapsed="1" x14ac:dyDescent="0.25">
      <c r="A77" s="29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SUM(OSRRefD22_7x_0)</f>
        <v>0</v>
      </c>
      <c r="E77" s="1"/>
      <c r="F77" s="5">
        <f t="shared" si="30"/>
        <v>0</v>
      </c>
      <c r="G77" s="1"/>
      <c r="H77" s="1">
        <f>SUM(OSRRefH22_7x_0)</f>
        <v>50</v>
      </c>
      <c r="I77" s="1"/>
      <c r="J77" s="5">
        <f t="shared" si="31"/>
        <v>1.2092483312373028E-3</v>
      </c>
      <c r="K77" s="1"/>
      <c r="L77" s="1">
        <f t="shared" si="32"/>
        <v>-50</v>
      </c>
      <c r="M77" s="1"/>
      <c r="N77" s="5">
        <f t="shared" si="33"/>
        <v>-1</v>
      </c>
      <c r="O77" s="14"/>
      <c r="P77" s="1">
        <f>SUM(OSRRefP22_7x_0)</f>
        <v>0</v>
      </c>
      <c r="Q77" s="1"/>
      <c r="R77" s="5">
        <f t="shared" si="34"/>
        <v>0</v>
      </c>
      <c r="S77" s="1"/>
      <c r="T77" s="1">
        <f>SUM(OSRRefT22_7x_0)</f>
        <v>400</v>
      </c>
      <c r="U77" s="1"/>
      <c r="V77" s="5">
        <f t="shared" si="35"/>
        <v>1.0450330883601602E-3</v>
      </c>
      <c r="W77" s="1"/>
      <c r="X77" s="1">
        <f t="shared" si="36"/>
        <v>-400</v>
      </c>
      <c r="Y77" s="1"/>
      <c r="Z77" s="5">
        <f t="shared" si="37"/>
        <v>-1</v>
      </c>
    </row>
    <row r="78" spans="1:26" s="24" customFormat="1" hidden="1" outlineLevel="2" x14ac:dyDescent="0.25">
      <c r="A78" s="27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0"/>
        <v>0</v>
      </c>
      <c r="G78" s="2"/>
      <c r="H78" s="7">
        <v>50</v>
      </c>
      <c r="I78" s="2"/>
      <c r="J78" s="6">
        <f t="shared" si="31"/>
        <v>1.2092483312373028E-3</v>
      </c>
      <c r="K78" s="2"/>
      <c r="L78" s="7">
        <f t="shared" si="32"/>
        <v>-50</v>
      </c>
      <c r="M78" s="2"/>
      <c r="N78" s="6">
        <f t="shared" si="33"/>
        <v>-1</v>
      </c>
      <c r="O78" s="11"/>
      <c r="P78" s="7"/>
      <c r="Q78" s="2"/>
      <c r="R78" s="6">
        <f t="shared" si="34"/>
        <v>0</v>
      </c>
      <c r="S78" s="2"/>
      <c r="T78" s="7">
        <v>400</v>
      </c>
      <c r="U78" s="2"/>
      <c r="V78" s="6">
        <f t="shared" si="35"/>
        <v>1.0450330883601602E-3</v>
      </c>
      <c r="W78" s="2"/>
      <c r="X78" s="7">
        <f t="shared" si="36"/>
        <v>-400</v>
      </c>
      <c r="Y78" s="2"/>
      <c r="Z78" s="6">
        <f t="shared" si="37"/>
        <v>-1</v>
      </c>
    </row>
    <row r="79" spans="1:26" s="28" customFormat="1" outlineLevel="1" collapsed="1" x14ac:dyDescent="0.25">
      <c r="A79" s="29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SUM(OSRRefD22_8x_0)</f>
        <v>0</v>
      </c>
      <c r="E79" s="1"/>
      <c r="F79" s="5">
        <f t="shared" si="30"/>
        <v>0</v>
      </c>
      <c r="G79" s="1"/>
      <c r="H79" s="1">
        <f>SUM(OSRRefH22_8x_0)</f>
        <v>0</v>
      </c>
      <c r="I79" s="1"/>
      <c r="J79" s="5">
        <f t="shared" si="31"/>
        <v>0</v>
      </c>
      <c r="K79" s="1"/>
      <c r="L79" s="1">
        <f t="shared" si="32"/>
        <v>0</v>
      </c>
      <c r="M79" s="1"/>
      <c r="N79" s="5">
        <f t="shared" si="33"/>
        <v>0</v>
      </c>
      <c r="O79" s="14"/>
      <c r="P79" s="1">
        <f>SUM(OSRRefP22_8x_0)</f>
        <v>1285.46</v>
      </c>
      <c r="Q79" s="1"/>
      <c r="R79" s="5">
        <f t="shared" si="34"/>
        <v>6.9771549278375257E-3</v>
      </c>
      <c r="S79" s="1"/>
      <c r="T79" s="1">
        <f>SUM(OSRRefT22_8x_0)</f>
        <v>1700</v>
      </c>
      <c r="U79" s="1"/>
      <c r="V79" s="5">
        <f t="shared" si="35"/>
        <v>4.441390625530681E-3</v>
      </c>
      <c r="W79" s="1"/>
      <c r="X79" s="1">
        <f t="shared" si="36"/>
        <v>-414.53999999999996</v>
      </c>
      <c r="Y79" s="1"/>
      <c r="Z79" s="5">
        <f t="shared" si="37"/>
        <v>-0.24384705882352939</v>
      </c>
    </row>
    <row r="80" spans="1:26" s="24" customFormat="1" hidden="1" outlineLevel="2" x14ac:dyDescent="0.25">
      <c r="A80" s="27"/>
      <c r="B80" s="11" t="str">
        <f>CONCATENATE("          ", "6276", " - ", "PROPERTY TAX")</f>
        <v xml:space="preserve">          6276 - PROPERTY TAX</v>
      </c>
      <c r="C80" s="11"/>
      <c r="D80" s="7"/>
      <c r="E80" s="2"/>
      <c r="F80" s="6">
        <f t="shared" si="30"/>
        <v>0</v>
      </c>
      <c r="G80" s="2"/>
      <c r="H80" s="7"/>
      <c r="I80" s="2"/>
      <c r="J80" s="6">
        <f t="shared" si="31"/>
        <v>0</v>
      </c>
      <c r="K80" s="2"/>
      <c r="L80" s="7">
        <f t="shared" si="32"/>
        <v>0</v>
      </c>
      <c r="M80" s="2"/>
      <c r="N80" s="6">
        <f t="shared" si="33"/>
        <v>0</v>
      </c>
      <c r="O80" s="11"/>
      <c r="P80" s="7"/>
      <c r="Q80" s="2"/>
      <c r="R80" s="6">
        <f t="shared" si="34"/>
        <v>0</v>
      </c>
      <c r="S80" s="2"/>
      <c r="T80" s="7">
        <v>150</v>
      </c>
      <c r="U80" s="2"/>
      <c r="V80" s="6">
        <f t="shared" si="35"/>
        <v>3.9188740813506009E-4</v>
      </c>
      <c r="W80" s="2"/>
      <c r="X80" s="7">
        <f t="shared" si="36"/>
        <v>-150</v>
      </c>
      <c r="Y80" s="2"/>
      <c r="Z80" s="6">
        <f t="shared" si="37"/>
        <v>-1</v>
      </c>
    </row>
    <row r="81" spans="1:26" s="24" customFormat="1" hidden="1" outlineLevel="2" x14ac:dyDescent="0.25">
      <c r="A81" s="27"/>
      <c r="B81" s="11" t="str">
        <f>CONCATENATE("          ", "6279", " - ", "GENERAL EXPENSE")</f>
        <v xml:space="preserve">          6279 - GENERAL EXPENSE</v>
      </c>
      <c r="C81" s="11"/>
      <c r="D81" s="7"/>
      <c r="E81" s="2"/>
      <c r="F81" s="6">
        <f t="shared" si="30"/>
        <v>0</v>
      </c>
      <c r="G81" s="2"/>
      <c r="H81" s="7">
        <v>0</v>
      </c>
      <c r="I81" s="2"/>
      <c r="J81" s="6">
        <f t="shared" si="31"/>
        <v>0</v>
      </c>
      <c r="K81" s="2"/>
      <c r="L81" s="7">
        <f t="shared" si="32"/>
        <v>0</v>
      </c>
      <c r="M81" s="2"/>
      <c r="N81" s="6">
        <f t="shared" si="33"/>
        <v>0</v>
      </c>
      <c r="O81" s="11"/>
      <c r="P81" s="7">
        <v>1285.46</v>
      </c>
      <c r="Q81" s="2"/>
      <c r="R81" s="6">
        <f t="shared" si="34"/>
        <v>6.9771549278375257E-3</v>
      </c>
      <c r="S81" s="2"/>
      <c r="T81" s="7">
        <v>1550</v>
      </c>
      <c r="U81" s="2"/>
      <c r="V81" s="6">
        <f t="shared" si="35"/>
        <v>4.0495032173956209E-3</v>
      </c>
      <c r="W81" s="2"/>
      <c r="X81" s="7">
        <f t="shared" si="36"/>
        <v>-264.53999999999996</v>
      </c>
      <c r="Y81" s="2"/>
      <c r="Z81" s="6">
        <f t="shared" si="37"/>
        <v>-0.17067096774193546</v>
      </c>
    </row>
    <row r="82" spans="1:26" s="28" customFormat="1" outlineLevel="1" collapsed="1" x14ac:dyDescent="0.25">
      <c r="A82" s="29"/>
      <c r="B82" s="14" t="str">
        <f>CONCATENATE("     ","Insurance                                         ")</f>
        <v xml:space="preserve">     Insurance                                         </v>
      </c>
      <c r="C82" s="14"/>
      <c r="D82" s="1">
        <f>SUM(OSRRefD22_9x_0)</f>
        <v>161.18</v>
      </c>
      <c r="E82" s="1"/>
      <c r="F82" s="5">
        <f t="shared" ref="F82:F93" si="38">IF(D$12=0,0,D82/D$12)</f>
        <v>7.8363611435505864E-3</v>
      </c>
      <c r="G82" s="1"/>
      <c r="H82" s="1">
        <f>SUM(OSRRefH22_9x_0)</f>
        <v>176</v>
      </c>
      <c r="I82" s="1"/>
      <c r="J82" s="5">
        <f t="shared" ref="J82:J93" si="39">IF(H$12=0,0,H82/H$12)</f>
        <v>4.2565541259553061E-3</v>
      </c>
      <c r="K82" s="1"/>
      <c r="L82" s="1">
        <f t="shared" ref="L82:L93" si="40">+D82-H82</f>
        <v>-14.819999999999993</v>
      </c>
      <c r="M82" s="1"/>
      <c r="N82" s="5">
        <f t="shared" ref="N82:N93" si="41">IF(H82=0,0,L82/H82)</f>
        <v>-8.4204545454545421E-2</v>
      </c>
      <c r="O82" s="14"/>
      <c r="P82" s="1">
        <f>SUM(OSRRefP22_9x_0)</f>
        <v>1289.44</v>
      </c>
      <c r="Q82" s="1"/>
      <c r="R82" s="5">
        <f t="shared" ref="R82:R93" si="42">IF(P$12=0,0,P82/P$12)</f>
        <v>6.9987573710195723E-3</v>
      </c>
      <c r="S82" s="1"/>
      <c r="T82" s="1">
        <f>SUM(OSRRefT22_9x_0)</f>
        <v>1408</v>
      </c>
      <c r="U82" s="1"/>
      <c r="V82" s="5">
        <f t="shared" ref="V82:V93" si="43">IF(T$12=0,0,T82/T$12)</f>
        <v>3.6785164710277638E-3</v>
      </c>
      <c r="W82" s="1"/>
      <c r="X82" s="1">
        <f t="shared" ref="X82:X93" si="44">+P82-T82</f>
        <v>-118.55999999999995</v>
      </c>
      <c r="Y82" s="1"/>
      <c r="Z82" s="5">
        <f t="shared" ref="Z82:Z93" si="45">IF(T82=0,0,X82/T82)</f>
        <v>-8.4204545454545421E-2</v>
      </c>
    </row>
    <row r="83" spans="1:26" s="24" customFormat="1" hidden="1" outlineLevel="2" x14ac:dyDescent="0.25">
      <c r="A83" s="27"/>
      <c r="B83" s="11" t="str">
        <f>CONCATENATE("          ", "6314", " - ", "LIABILITY INSURANCE")</f>
        <v xml:space="preserve">          6314 - LIABILITY INSURANCE</v>
      </c>
      <c r="C83" s="11"/>
      <c r="D83" s="7">
        <v>161.18</v>
      </c>
      <c r="E83" s="2"/>
      <c r="F83" s="6">
        <f t="shared" si="38"/>
        <v>7.8363611435505864E-3</v>
      </c>
      <c r="G83" s="2"/>
      <c r="H83" s="7">
        <v>176</v>
      </c>
      <c r="I83" s="2"/>
      <c r="J83" s="6">
        <f t="shared" si="39"/>
        <v>4.2565541259553061E-3</v>
      </c>
      <c r="K83" s="2"/>
      <c r="L83" s="7">
        <f t="shared" si="40"/>
        <v>-14.819999999999993</v>
      </c>
      <c r="M83" s="2"/>
      <c r="N83" s="6">
        <f t="shared" si="41"/>
        <v>-8.4204545454545421E-2</v>
      </c>
      <c r="O83" s="11"/>
      <c r="P83" s="7">
        <v>1289.44</v>
      </c>
      <c r="Q83" s="2"/>
      <c r="R83" s="6">
        <f t="shared" si="42"/>
        <v>6.9987573710195723E-3</v>
      </c>
      <c r="S83" s="2"/>
      <c r="T83" s="7">
        <v>1408</v>
      </c>
      <c r="U83" s="2"/>
      <c r="V83" s="6">
        <f t="shared" si="43"/>
        <v>3.6785164710277638E-3</v>
      </c>
      <c r="W83" s="2"/>
      <c r="X83" s="7">
        <f t="shared" si="44"/>
        <v>-118.55999999999995</v>
      </c>
      <c r="Y83" s="2"/>
      <c r="Z83" s="6">
        <f t="shared" si="45"/>
        <v>-8.4204545454545421E-2</v>
      </c>
    </row>
    <row r="84" spans="1:26" s="28" customFormat="1" outlineLevel="1" collapsed="1" x14ac:dyDescent="0.25">
      <c r="A84" s="29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SUM(OSRRefD22_10x_0)</f>
        <v>100</v>
      </c>
      <c r="E84" s="1"/>
      <c r="F84" s="5">
        <f t="shared" si="38"/>
        <v>4.861869427689903E-3</v>
      </c>
      <c r="G84" s="1"/>
      <c r="H84" s="1">
        <f>SUM(OSRRefH22_10x_0)</f>
        <v>100</v>
      </c>
      <c r="I84" s="1"/>
      <c r="J84" s="5">
        <f t="shared" si="39"/>
        <v>2.4184966624746056E-3</v>
      </c>
      <c r="K84" s="1"/>
      <c r="L84" s="1">
        <f t="shared" si="40"/>
        <v>0</v>
      </c>
      <c r="M84" s="1"/>
      <c r="N84" s="5">
        <f t="shared" si="41"/>
        <v>0</v>
      </c>
      <c r="O84" s="14"/>
      <c r="P84" s="1">
        <f>SUM(OSRRefP22_10x_0)</f>
        <v>800</v>
      </c>
      <c r="Q84" s="1"/>
      <c r="R84" s="5">
        <f t="shared" si="42"/>
        <v>4.3421996345821886E-3</v>
      </c>
      <c r="S84" s="1"/>
      <c r="T84" s="1">
        <f>SUM(OSRRefT22_10x_0)</f>
        <v>800</v>
      </c>
      <c r="U84" s="1"/>
      <c r="V84" s="5">
        <f t="shared" si="43"/>
        <v>2.0900661767203205E-3</v>
      </c>
      <c r="W84" s="1"/>
      <c r="X84" s="1">
        <f t="shared" si="44"/>
        <v>0</v>
      </c>
      <c r="Y84" s="1"/>
      <c r="Z84" s="5">
        <f t="shared" si="45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100</v>
      </c>
      <c r="E85" s="2"/>
      <c r="F85" s="6">
        <f t="shared" si="38"/>
        <v>4.861869427689903E-3</v>
      </c>
      <c r="G85" s="2"/>
      <c r="H85" s="7">
        <v>100</v>
      </c>
      <c r="I85" s="2"/>
      <c r="J85" s="6">
        <f t="shared" si="39"/>
        <v>2.4184966624746056E-3</v>
      </c>
      <c r="K85" s="2"/>
      <c r="L85" s="7">
        <f t="shared" si="40"/>
        <v>0</v>
      </c>
      <c r="M85" s="2"/>
      <c r="N85" s="6">
        <f t="shared" si="41"/>
        <v>0</v>
      </c>
      <c r="O85" s="11"/>
      <c r="P85" s="7">
        <v>800</v>
      </c>
      <c r="Q85" s="2"/>
      <c r="R85" s="6">
        <f t="shared" si="42"/>
        <v>4.3421996345821886E-3</v>
      </c>
      <c r="S85" s="2"/>
      <c r="T85" s="7">
        <v>800</v>
      </c>
      <c r="U85" s="2"/>
      <c r="V85" s="6">
        <f t="shared" si="43"/>
        <v>2.0900661767203205E-3</v>
      </c>
      <c r="W85" s="2"/>
      <c r="X85" s="7">
        <f t="shared" si="44"/>
        <v>0</v>
      </c>
      <c r="Y85" s="2"/>
      <c r="Z85" s="6">
        <f t="shared" si="45"/>
        <v>0</v>
      </c>
    </row>
    <row r="86" spans="1:26" s="28" customFormat="1" outlineLevel="1" collapsed="1" x14ac:dyDescent="0.25">
      <c r="A86" s="29"/>
      <c r="B86" s="14" t="str">
        <f>CONCATENATE("     ","Professional Services                             ")</f>
        <v xml:space="preserve">     Professional Services                             </v>
      </c>
      <c r="C86" s="14"/>
      <c r="D86" s="1">
        <f>SUM(OSRRefD22_11x_0)</f>
        <v>0</v>
      </c>
      <c r="E86" s="1"/>
      <c r="F86" s="5">
        <f t="shared" si="38"/>
        <v>0</v>
      </c>
      <c r="G86" s="1"/>
      <c r="H86" s="1">
        <f>SUM(OSRRefH22_11x_0)</f>
        <v>0</v>
      </c>
      <c r="I86" s="1"/>
      <c r="J86" s="5">
        <f t="shared" si="39"/>
        <v>0</v>
      </c>
      <c r="K86" s="1"/>
      <c r="L86" s="1">
        <f t="shared" si="40"/>
        <v>0</v>
      </c>
      <c r="M86" s="1"/>
      <c r="N86" s="5">
        <f t="shared" si="41"/>
        <v>0</v>
      </c>
      <c r="O86" s="14"/>
      <c r="P86" s="1">
        <f>SUM(OSRRefP22_11x_0)</f>
        <v>0</v>
      </c>
      <c r="Q86" s="1"/>
      <c r="R86" s="5">
        <f t="shared" si="42"/>
        <v>0</v>
      </c>
      <c r="S86" s="1"/>
      <c r="T86" s="1">
        <f>SUM(OSRRefT22_11x_0)</f>
        <v>750</v>
      </c>
      <c r="U86" s="1"/>
      <c r="V86" s="5">
        <f t="shared" si="43"/>
        <v>1.9594370406753004E-3</v>
      </c>
      <c r="W86" s="1"/>
      <c r="X86" s="1">
        <f t="shared" si="44"/>
        <v>-750</v>
      </c>
      <c r="Y86" s="1"/>
      <c r="Z86" s="5">
        <f t="shared" si="45"/>
        <v>-1</v>
      </c>
    </row>
    <row r="87" spans="1:26" s="24" customFormat="1" hidden="1" outlineLevel="2" x14ac:dyDescent="0.25">
      <c r="A87" s="27"/>
      <c r="B87" s="11" t="str">
        <f>CONCATENATE("          ", "6336", " - ", "PROFESSIONAL SERVICES")</f>
        <v xml:space="preserve">          6336 - PROFESSIONAL SERVICES</v>
      </c>
      <c r="C87" s="11"/>
      <c r="D87" s="7"/>
      <c r="E87" s="2"/>
      <c r="F87" s="6">
        <f t="shared" si="38"/>
        <v>0</v>
      </c>
      <c r="G87" s="2"/>
      <c r="H87" s="7">
        <v>0</v>
      </c>
      <c r="I87" s="2"/>
      <c r="J87" s="6">
        <f t="shared" si="39"/>
        <v>0</v>
      </c>
      <c r="K87" s="2"/>
      <c r="L87" s="7">
        <f t="shared" si="40"/>
        <v>0</v>
      </c>
      <c r="M87" s="2"/>
      <c r="N87" s="6">
        <f t="shared" si="41"/>
        <v>0</v>
      </c>
      <c r="O87" s="11"/>
      <c r="P87" s="7"/>
      <c r="Q87" s="2"/>
      <c r="R87" s="6">
        <f t="shared" si="42"/>
        <v>0</v>
      </c>
      <c r="S87" s="2"/>
      <c r="T87" s="7">
        <v>750</v>
      </c>
      <c r="U87" s="2"/>
      <c r="V87" s="6">
        <f t="shared" si="43"/>
        <v>1.9594370406753004E-3</v>
      </c>
      <c r="W87" s="2"/>
      <c r="X87" s="7">
        <f t="shared" si="44"/>
        <v>-750</v>
      </c>
      <c r="Y87" s="2"/>
      <c r="Z87" s="6">
        <f t="shared" si="45"/>
        <v>-1</v>
      </c>
    </row>
    <row r="88" spans="1:26" s="28" customFormat="1" outlineLevel="1" collapsed="1" x14ac:dyDescent="0.25">
      <c r="A88" s="29"/>
      <c r="B88" s="14" t="str">
        <f>CONCATENATE("     ","Rent                                              ")</f>
        <v xml:space="preserve">     Rent                                              </v>
      </c>
      <c r="C88" s="14"/>
      <c r="D88" s="1">
        <f>SUM(OSRRefD22_12x_0)</f>
        <v>6900</v>
      </c>
      <c r="E88" s="1"/>
      <c r="F88" s="5">
        <f t="shared" si="38"/>
        <v>0.3354689905106033</v>
      </c>
      <c r="G88" s="1"/>
      <c r="H88" s="1">
        <f>SUM(OSRRefH22_12x_0)</f>
        <v>6900</v>
      </c>
      <c r="I88" s="1"/>
      <c r="J88" s="5">
        <f t="shared" si="39"/>
        <v>0.16687626971074779</v>
      </c>
      <c r="K88" s="1"/>
      <c r="L88" s="1">
        <f t="shared" si="40"/>
        <v>0</v>
      </c>
      <c r="M88" s="1"/>
      <c r="N88" s="5">
        <f t="shared" si="41"/>
        <v>0</v>
      </c>
      <c r="O88" s="14"/>
      <c r="P88" s="1">
        <f>SUM(OSRRefP22_12x_0)</f>
        <v>55200</v>
      </c>
      <c r="Q88" s="1"/>
      <c r="R88" s="5">
        <f t="shared" si="42"/>
        <v>0.29961177478617101</v>
      </c>
      <c r="S88" s="1"/>
      <c r="T88" s="1">
        <f>SUM(OSRRefT22_12x_0)</f>
        <v>55201</v>
      </c>
      <c r="U88" s="1"/>
      <c r="V88" s="5">
        <f t="shared" si="43"/>
        <v>0.14421717877642301</v>
      </c>
      <c r="W88" s="1"/>
      <c r="X88" s="1">
        <f t="shared" si="44"/>
        <v>-1</v>
      </c>
      <c r="Y88" s="1"/>
      <c r="Z88" s="5">
        <f t="shared" si="45"/>
        <v>-1.8115613847575227E-5</v>
      </c>
    </row>
    <row r="89" spans="1:26" s="24" customFormat="1" hidden="1" outlineLevel="2" x14ac:dyDescent="0.25">
      <c r="A89" s="27"/>
      <c r="B89" s="11" t="str">
        <f>CONCATENATE("          ", "6273", " - ", "RENT")</f>
        <v xml:space="preserve">          6273 - RENT</v>
      </c>
      <c r="C89" s="11"/>
      <c r="D89" s="7">
        <v>6900</v>
      </c>
      <c r="E89" s="2"/>
      <c r="F89" s="6">
        <f t="shared" si="38"/>
        <v>0.3354689905106033</v>
      </c>
      <c r="G89" s="2"/>
      <c r="H89" s="7">
        <v>6900</v>
      </c>
      <c r="I89" s="2"/>
      <c r="J89" s="6">
        <f t="shared" si="39"/>
        <v>0.16687626971074779</v>
      </c>
      <c r="K89" s="2"/>
      <c r="L89" s="7">
        <f t="shared" si="40"/>
        <v>0</v>
      </c>
      <c r="M89" s="2"/>
      <c r="N89" s="6">
        <f t="shared" si="41"/>
        <v>0</v>
      </c>
      <c r="O89" s="11"/>
      <c r="P89" s="7">
        <v>55200</v>
      </c>
      <c r="Q89" s="2"/>
      <c r="R89" s="6">
        <f t="shared" si="42"/>
        <v>0.29961177478617101</v>
      </c>
      <c r="S89" s="2"/>
      <c r="T89" s="7">
        <v>55201</v>
      </c>
      <c r="U89" s="2"/>
      <c r="V89" s="6">
        <f t="shared" si="43"/>
        <v>0.14421717877642301</v>
      </c>
      <c r="W89" s="2"/>
      <c r="X89" s="7">
        <f t="shared" si="44"/>
        <v>-1</v>
      </c>
      <c r="Y89" s="2"/>
      <c r="Z89" s="6">
        <f t="shared" si="45"/>
        <v>-1.8115613847575227E-5</v>
      </c>
    </row>
    <row r="90" spans="1:26" s="28" customFormat="1" outlineLevel="1" collapsed="1" x14ac:dyDescent="0.25">
      <c r="A90" s="29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SUM(OSRRefD22_13x_0)</f>
        <v>-0.52</v>
      </c>
      <c r="E90" s="1"/>
      <c r="F90" s="5">
        <f t="shared" si="38"/>
        <v>-2.5281721023987495E-5</v>
      </c>
      <c r="G90" s="1"/>
      <c r="H90" s="1">
        <f>SUM(OSRRefH22_13x_0)</f>
        <v>100</v>
      </c>
      <c r="I90" s="1"/>
      <c r="J90" s="5">
        <f t="shared" si="39"/>
        <v>2.4184966624746056E-3</v>
      </c>
      <c r="K90" s="1"/>
      <c r="L90" s="1">
        <f t="shared" si="40"/>
        <v>-100.52</v>
      </c>
      <c r="M90" s="1"/>
      <c r="N90" s="5">
        <f t="shared" si="41"/>
        <v>-1.0051999999999999</v>
      </c>
      <c r="O90" s="14"/>
      <c r="P90" s="1">
        <f>SUM(OSRRefP22_13x_0)</f>
        <v>95.92</v>
      </c>
      <c r="Q90" s="1"/>
      <c r="R90" s="5">
        <f t="shared" si="42"/>
        <v>5.2062973618640447E-4</v>
      </c>
      <c r="S90" s="1"/>
      <c r="T90" s="1">
        <f>SUM(OSRRefT22_13x_0)</f>
        <v>800</v>
      </c>
      <c r="U90" s="1"/>
      <c r="V90" s="5">
        <f t="shared" si="43"/>
        <v>2.0900661767203205E-3</v>
      </c>
      <c r="W90" s="1"/>
      <c r="X90" s="1">
        <f t="shared" si="44"/>
        <v>-704.08</v>
      </c>
      <c r="Y90" s="1"/>
      <c r="Z90" s="5">
        <f t="shared" si="45"/>
        <v>-0.8801000000000001</v>
      </c>
    </row>
    <row r="91" spans="1:26" s="24" customFormat="1" hidden="1" outlineLevel="2" x14ac:dyDescent="0.25">
      <c r="A91" s="27"/>
      <c r="B91" s="11" t="str">
        <f>CONCATENATE("          ", "6372", " - ", "COMPUTER HARDWARE MAINTENANCE")</f>
        <v xml:space="preserve">          6372 - COMPUTER HARDWARE MAINTENANCE</v>
      </c>
      <c r="C91" s="11"/>
      <c r="D91" s="7">
        <v>-0.52</v>
      </c>
      <c r="E91" s="2"/>
      <c r="F91" s="6">
        <f t="shared" si="38"/>
        <v>-2.5281721023987495E-5</v>
      </c>
      <c r="G91" s="2"/>
      <c r="H91" s="7"/>
      <c r="I91" s="2"/>
      <c r="J91" s="6">
        <f t="shared" si="39"/>
        <v>0</v>
      </c>
      <c r="K91" s="2"/>
      <c r="L91" s="7">
        <f t="shared" si="40"/>
        <v>-0.52</v>
      </c>
      <c r="M91" s="2"/>
      <c r="N91" s="6">
        <f t="shared" si="41"/>
        <v>0</v>
      </c>
      <c r="O91" s="11"/>
      <c r="P91" s="7">
        <v>-0.52</v>
      </c>
      <c r="Q91" s="2"/>
      <c r="R91" s="6">
        <f t="shared" si="42"/>
        <v>-2.8224297624784229E-6</v>
      </c>
      <c r="S91" s="2"/>
      <c r="T91" s="7"/>
      <c r="U91" s="2"/>
      <c r="V91" s="6">
        <f t="shared" si="43"/>
        <v>0</v>
      </c>
      <c r="W91" s="2"/>
      <c r="X91" s="7">
        <f t="shared" si="44"/>
        <v>-0.52</v>
      </c>
      <c r="Y91" s="2"/>
      <c r="Z91" s="6">
        <f t="shared" si="45"/>
        <v>0</v>
      </c>
    </row>
    <row r="92" spans="1:26" s="24" customFormat="1" hidden="1" outlineLevel="2" x14ac:dyDescent="0.25">
      <c r="A92" s="27"/>
      <c r="B92" s="11" t="str">
        <f>CONCATENATE("          ", "6373", " - ", "MAINTENANCE CONTRACTS")</f>
        <v xml:space="preserve">          6373 - MAINTENANCE CONTRACTS</v>
      </c>
      <c r="C92" s="11"/>
      <c r="D92" s="7"/>
      <c r="E92" s="2"/>
      <c r="F92" s="6">
        <f t="shared" si="38"/>
        <v>0</v>
      </c>
      <c r="G92" s="2"/>
      <c r="H92" s="7"/>
      <c r="I92" s="2"/>
      <c r="J92" s="6">
        <f t="shared" si="39"/>
        <v>0</v>
      </c>
      <c r="K92" s="2"/>
      <c r="L92" s="7">
        <f t="shared" si="40"/>
        <v>0</v>
      </c>
      <c r="M92" s="2"/>
      <c r="N92" s="6">
        <f t="shared" si="41"/>
        <v>0</v>
      </c>
      <c r="O92" s="11"/>
      <c r="P92" s="7">
        <v>96.44</v>
      </c>
      <c r="Q92" s="2"/>
      <c r="R92" s="6">
        <f t="shared" si="42"/>
        <v>5.2345216594888288E-4</v>
      </c>
      <c r="S92" s="2"/>
      <c r="T92" s="7"/>
      <c r="U92" s="2"/>
      <c r="V92" s="6">
        <f t="shared" si="43"/>
        <v>0</v>
      </c>
      <c r="W92" s="2"/>
      <c r="X92" s="7">
        <f t="shared" si="44"/>
        <v>96.44</v>
      </c>
      <c r="Y92" s="2"/>
      <c r="Z92" s="6">
        <f t="shared" si="45"/>
        <v>0</v>
      </c>
    </row>
    <row r="93" spans="1:26" s="24" customFormat="1" hidden="1" outlineLevel="2" x14ac:dyDescent="0.25">
      <c r="A93" s="27"/>
      <c r="B93" s="11" t="str">
        <f>CONCATENATE("          ", "6375", " - ", "OUTSIDE REPAIRS &amp; MAINTENANCE")</f>
        <v xml:space="preserve">          6375 - OUTSIDE REPAIRS &amp; MAINTENANCE</v>
      </c>
      <c r="C93" s="11"/>
      <c r="D93" s="7"/>
      <c r="E93" s="2"/>
      <c r="F93" s="6">
        <f t="shared" si="38"/>
        <v>0</v>
      </c>
      <c r="G93" s="2"/>
      <c r="H93" s="7">
        <v>100</v>
      </c>
      <c r="I93" s="2"/>
      <c r="J93" s="6">
        <f t="shared" si="39"/>
        <v>2.4184966624746056E-3</v>
      </c>
      <c r="K93" s="2"/>
      <c r="L93" s="7">
        <f t="shared" si="40"/>
        <v>-100</v>
      </c>
      <c r="M93" s="2"/>
      <c r="N93" s="6">
        <f t="shared" si="41"/>
        <v>-1</v>
      </c>
      <c r="O93" s="11"/>
      <c r="P93" s="7"/>
      <c r="Q93" s="2"/>
      <c r="R93" s="6">
        <f t="shared" si="42"/>
        <v>0</v>
      </c>
      <c r="S93" s="2"/>
      <c r="T93" s="7">
        <v>800</v>
      </c>
      <c r="U93" s="2"/>
      <c r="V93" s="6">
        <f t="shared" si="43"/>
        <v>2.0900661767203205E-3</v>
      </c>
      <c r="W93" s="2"/>
      <c r="X93" s="7">
        <f t="shared" si="44"/>
        <v>-800</v>
      </c>
      <c r="Y93" s="2"/>
      <c r="Z93" s="6">
        <f t="shared" si="45"/>
        <v>-1</v>
      </c>
    </row>
    <row r="94" spans="1:26" s="28" customFormat="1" outlineLevel="1" collapsed="1" x14ac:dyDescent="0.25">
      <c r="A94" s="29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SUM(OSRRefD22_14x_0)</f>
        <v>81.84</v>
      </c>
      <c r="E94" s="1"/>
      <c r="F94" s="5">
        <f t="shared" ref="F94:F97" si="46">IF(D$12=0,0,D94/D$12)</f>
        <v>3.9789539396214166E-3</v>
      </c>
      <c r="G94" s="1"/>
      <c r="H94" s="1">
        <f>SUM(OSRRefH22_14x_0)</f>
        <v>155</v>
      </c>
      <c r="I94" s="1"/>
      <c r="J94" s="5">
        <f t="shared" ref="J94:J97" si="47">IF(H$12=0,0,H94/H$12)</f>
        <v>3.7486698268356391E-3</v>
      </c>
      <c r="K94" s="1"/>
      <c r="L94" s="1">
        <f t="shared" ref="L94:L97" si="48">+D94-H94</f>
        <v>-73.16</v>
      </c>
      <c r="M94" s="1"/>
      <c r="N94" s="5">
        <f t="shared" ref="N94:N97" si="49">IF(H94=0,0,L94/H94)</f>
        <v>-0.47199999999999998</v>
      </c>
      <c r="O94" s="14"/>
      <c r="P94" s="1">
        <f>SUM(OSRRefP22_14x_0)</f>
        <v>356.49999999999989</v>
      </c>
      <c r="Q94" s="1"/>
      <c r="R94" s="5">
        <f t="shared" ref="R94:R97" si="50">IF(P$12=0,0,P94/P$12)</f>
        <v>1.9349927121606872E-3</v>
      </c>
      <c r="S94" s="1"/>
      <c r="T94" s="1">
        <f>SUM(OSRRefT22_14x_0)</f>
        <v>1675</v>
      </c>
      <c r="U94" s="1"/>
      <c r="V94" s="5">
        <f t="shared" ref="V94:V97" si="51">IF(T$12=0,0,T94/T$12)</f>
        <v>4.3760760575081705E-3</v>
      </c>
      <c r="W94" s="1"/>
      <c r="X94" s="1">
        <f t="shared" ref="X94:X97" si="52">+P94-T94</f>
        <v>-1318.5</v>
      </c>
      <c r="Y94" s="1"/>
      <c r="Z94" s="5">
        <f t="shared" ref="Z94:Z97" si="53">IF(T94=0,0,X94/T94)</f>
        <v>-0.78716417910447756</v>
      </c>
    </row>
    <row r="95" spans="1:26" s="24" customFormat="1" hidden="1" outlineLevel="2" x14ac:dyDescent="0.25">
      <c r="A95" s="27"/>
      <c r="B95" s="11" t="str">
        <f>CONCATENATE("          ", "6283", " - ", "PLANT SERVICE")</f>
        <v xml:space="preserve">          6283 - PLANT SERVICE</v>
      </c>
      <c r="C95" s="11"/>
      <c r="D95" s="7"/>
      <c r="E95" s="2"/>
      <c r="F95" s="6">
        <f t="shared" si="46"/>
        <v>0</v>
      </c>
      <c r="G95" s="2"/>
      <c r="H95" s="7">
        <v>0</v>
      </c>
      <c r="I95" s="2"/>
      <c r="J95" s="6">
        <f t="shared" si="47"/>
        <v>0</v>
      </c>
      <c r="K95" s="2"/>
      <c r="L95" s="7">
        <f t="shared" si="48"/>
        <v>0</v>
      </c>
      <c r="M95" s="2"/>
      <c r="N95" s="6">
        <f t="shared" si="49"/>
        <v>0</v>
      </c>
      <c r="O95" s="11"/>
      <c r="P95" s="7">
        <v>41.31</v>
      </c>
      <c r="Q95" s="2"/>
      <c r="R95" s="6">
        <f t="shared" si="50"/>
        <v>2.2422033363073777E-4</v>
      </c>
      <c r="S95" s="2"/>
      <c r="T95" s="7">
        <v>0</v>
      </c>
      <c r="U95" s="2"/>
      <c r="V95" s="6">
        <f t="shared" si="51"/>
        <v>0</v>
      </c>
      <c r="W95" s="2"/>
      <c r="X95" s="7">
        <f t="shared" si="52"/>
        <v>41.31</v>
      </c>
      <c r="Y95" s="2"/>
      <c r="Z95" s="6">
        <f t="shared" si="53"/>
        <v>0</v>
      </c>
    </row>
    <row r="96" spans="1:26" s="24" customFormat="1" hidden="1" outlineLevel="2" x14ac:dyDescent="0.25">
      <c r="A96" s="27"/>
      <c r="B96" s="11" t="str">
        <f>CONCATENATE("          ", "6284", " - ", "TRASH REMOVAL EXPENSE")</f>
        <v xml:space="preserve">          6284 - TRASH REMOVAL EXPENSE</v>
      </c>
      <c r="C96" s="11"/>
      <c r="D96" s="7">
        <v>142.57</v>
      </c>
      <c r="E96" s="2"/>
      <c r="F96" s="6">
        <f t="shared" si="46"/>
        <v>6.9315672430574939E-3</v>
      </c>
      <c r="G96" s="2"/>
      <c r="H96" s="7">
        <v>55</v>
      </c>
      <c r="I96" s="2"/>
      <c r="J96" s="6">
        <f t="shared" si="47"/>
        <v>1.3301731643610333E-3</v>
      </c>
      <c r="K96" s="2"/>
      <c r="L96" s="7">
        <f t="shared" si="48"/>
        <v>87.57</v>
      </c>
      <c r="M96" s="2"/>
      <c r="N96" s="6">
        <f t="shared" si="49"/>
        <v>1.5921818181818181</v>
      </c>
      <c r="O96" s="11"/>
      <c r="P96" s="7">
        <v>1155.58</v>
      </c>
      <c r="Q96" s="2"/>
      <c r="R96" s="6">
        <f t="shared" si="50"/>
        <v>6.2721988171631068E-3</v>
      </c>
      <c r="S96" s="2"/>
      <c r="T96" s="7">
        <v>550</v>
      </c>
      <c r="U96" s="2"/>
      <c r="V96" s="6">
        <f t="shared" si="51"/>
        <v>1.4369204964952203E-3</v>
      </c>
      <c r="W96" s="2"/>
      <c r="X96" s="7">
        <f t="shared" si="52"/>
        <v>605.57999999999993</v>
      </c>
      <c r="Y96" s="2"/>
      <c r="Z96" s="6">
        <f t="shared" si="53"/>
        <v>1.1010545454545453</v>
      </c>
    </row>
    <row r="97" spans="1:26" s="24" customFormat="1" hidden="1" outlineLevel="2" x14ac:dyDescent="0.25">
      <c r="A97" s="27"/>
      <c r="B97" s="11" t="str">
        <f>CONCATENATE("          ", "6285", " - ", "JANITORIAL SERVICES")</f>
        <v xml:space="preserve">          6285 - JANITORIAL SERVICES</v>
      </c>
      <c r="C97" s="11"/>
      <c r="D97" s="7">
        <v>-60.73</v>
      </c>
      <c r="E97" s="2"/>
      <c r="F97" s="6">
        <f t="shared" si="46"/>
        <v>-2.9526133034360777E-3</v>
      </c>
      <c r="G97" s="2"/>
      <c r="H97" s="7">
        <v>100</v>
      </c>
      <c r="I97" s="2"/>
      <c r="J97" s="6">
        <f t="shared" si="47"/>
        <v>2.4184966624746056E-3</v>
      </c>
      <c r="K97" s="2"/>
      <c r="L97" s="7">
        <f t="shared" si="48"/>
        <v>-160.72999999999999</v>
      </c>
      <c r="M97" s="2"/>
      <c r="N97" s="6">
        <f t="shared" si="49"/>
        <v>-1.6073</v>
      </c>
      <c r="O97" s="11"/>
      <c r="P97" s="7">
        <v>-840.39</v>
      </c>
      <c r="Q97" s="2"/>
      <c r="R97" s="6">
        <f t="shared" si="50"/>
        <v>-4.5614264386331571E-3</v>
      </c>
      <c r="S97" s="2"/>
      <c r="T97" s="7">
        <v>1125</v>
      </c>
      <c r="U97" s="2"/>
      <c r="V97" s="6">
        <f t="shared" si="51"/>
        <v>2.9391555610129507E-3</v>
      </c>
      <c r="W97" s="2"/>
      <c r="X97" s="7">
        <f t="shared" si="52"/>
        <v>-1965.3899999999999</v>
      </c>
      <c r="Y97" s="2"/>
      <c r="Z97" s="6">
        <f t="shared" si="53"/>
        <v>-1.7470133333333333</v>
      </c>
    </row>
    <row r="98" spans="1:26" s="28" customFormat="1" outlineLevel="1" collapsed="1" x14ac:dyDescent="0.25">
      <c r="A98" s="29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SUM(OSRRefD22_15x_0)</f>
        <v>0</v>
      </c>
      <c r="E98" s="1"/>
      <c r="F98" s="5">
        <f t="shared" ref="F98:F100" si="54">IF(D$12=0,0,D98/D$12)</f>
        <v>0</v>
      </c>
      <c r="G98" s="1"/>
      <c r="H98" s="1">
        <f>SUM(OSRRefH22_15x_0)</f>
        <v>0</v>
      </c>
      <c r="I98" s="1"/>
      <c r="J98" s="5">
        <f t="shared" ref="J98:J100" si="55">IF(H$12=0,0,H98/H$12)</f>
        <v>0</v>
      </c>
      <c r="K98" s="1"/>
      <c r="L98" s="1">
        <f t="shared" ref="L98:L100" si="56">+D98-H98</f>
        <v>0</v>
      </c>
      <c r="M98" s="1"/>
      <c r="N98" s="5">
        <f t="shared" ref="N98:N100" si="57">IF(H98=0,0,L98/H98)</f>
        <v>0</v>
      </c>
      <c r="O98" s="14"/>
      <c r="P98" s="1">
        <f>SUM(OSRRefP22_15x_0)</f>
        <v>164.27</v>
      </c>
      <c r="Q98" s="1"/>
      <c r="R98" s="5">
        <f t="shared" ref="R98:R100" si="58">IF(P$12=0,0,P98/P$12)</f>
        <v>8.9161641746602022E-4</v>
      </c>
      <c r="S98" s="1"/>
      <c r="T98" s="1">
        <f>SUM(OSRRefT22_15x_0)</f>
        <v>395</v>
      </c>
      <c r="U98" s="1"/>
      <c r="V98" s="5">
        <f t="shared" ref="V98:V100" si="59">IF(T$12=0,0,T98/T$12)</f>
        <v>1.0319701747556582E-3</v>
      </c>
      <c r="W98" s="1"/>
      <c r="X98" s="1">
        <f t="shared" ref="X98:X100" si="60">+P98-T98</f>
        <v>-230.73</v>
      </c>
      <c r="Y98" s="1"/>
      <c r="Z98" s="5">
        <f t="shared" ref="Z98:Z100" si="61">IF(T98=0,0,X98/T98)</f>
        <v>-0.58412658227848102</v>
      </c>
    </row>
    <row r="99" spans="1:26" s="24" customFormat="1" hidden="1" outlineLevel="2" x14ac:dyDescent="0.25">
      <c r="A99" s="27"/>
      <c r="B99" s="11" t="str">
        <f>CONCATENATE("          ", "6258", " - ", "MEMBERSHIP DUES")</f>
        <v xml:space="preserve">          6258 - MEMBERSHIP DUES</v>
      </c>
      <c r="C99" s="11"/>
      <c r="D99" s="7"/>
      <c r="E99" s="2"/>
      <c r="F99" s="6">
        <f t="shared" si="54"/>
        <v>0</v>
      </c>
      <c r="G99" s="2"/>
      <c r="H99" s="7">
        <v>0</v>
      </c>
      <c r="I99" s="2"/>
      <c r="J99" s="6">
        <f t="shared" si="55"/>
        <v>0</v>
      </c>
      <c r="K99" s="2"/>
      <c r="L99" s="7">
        <f t="shared" si="56"/>
        <v>0</v>
      </c>
      <c r="M99" s="2"/>
      <c r="N99" s="6">
        <f t="shared" si="57"/>
        <v>0</v>
      </c>
      <c r="O99" s="11"/>
      <c r="P99" s="7">
        <v>-60.73</v>
      </c>
      <c r="Q99" s="2"/>
      <c r="R99" s="6">
        <f t="shared" si="58"/>
        <v>-3.2962722976022038E-4</v>
      </c>
      <c r="S99" s="2"/>
      <c r="T99" s="7">
        <v>395</v>
      </c>
      <c r="U99" s="2"/>
      <c r="V99" s="6">
        <f t="shared" si="59"/>
        <v>1.0319701747556582E-3</v>
      </c>
      <c r="W99" s="2"/>
      <c r="X99" s="7">
        <f t="shared" si="60"/>
        <v>-455.73</v>
      </c>
      <c r="Y99" s="2"/>
      <c r="Z99" s="6">
        <f t="shared" si="61"/>
        <v>-1.153746835443038</v>
      </c>
    </row>
    <row r="100" spans="1:26" s="24" customFormat="1" hidden="1" outlineLevel="2" x14ac:dyDescent="0.25">
      <c r="A100" s="27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54"/>
        <v>0</v>
      </c>
      <c r="G100" s="2"/>
      <c r="H100" s="7">
        <v>0</v>
      </c>
      <c r="I100" s="2"/>
      <c r="J100" s="6">
        <f t="shared" si="55"/>
        <v>0</v>
      </c>
      <c r="K100" s="2"/>
      <c r="L100" s="7">
        <f t="shared" si="56"/>
        <v>0</v>
      </c>
      <c r="M100" s="2"/>
      <c r="N100" s="6">
        <f t="shared" si="57"/>
        <v>0</v>
      </c>
      <c r="O100" s="11"/>
      <c r="P100" s="7">
        <v>225</v>
      </c>
      <c r="Q100" s="2"/>
      <c r="R100" s="6">
        <f t="shared" si="58"/>
        <v>1.2212436472262406E-3</v>
      </c>
      <c r="S100" s="2"/>
      <c r="T100" s="7">
        <v>0</v>
      </c>
      <c r="U100" s="2"/>
      <c r="V100" s="6">
        <f t="shared" si="59"/>
        <v>0</v>
      </c>
      <c r="W100" s="2"/>
      <c r="X100" s="7">
        <f t="shared" si="60"/>
        <v>225</v>
      </c>
      <c r="Y100" s="2"/>
      <c r="Z100" s="6">
        <f t="shared" si="61"/>
        <v>0</v>
      </c>
    </row>
    <row r="101" spans="1:26" s="28" customFormat="1" outlineLevel="1" collapsed="1" x14ac:dyDescent="0.25">
      <c r="A101" s="29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SUM(OSRRefD22_16x_0)</f>
        <v>5.95</v>
      </c>
      <c r="E101" s="1"/>
      <c r="F101" s="5">
        <f t="shared" ref="F101:F107" si="62">IF(D$12=0,0,D101/D$12)</f>
        <v>2.8928123094754924E-4</v>
      </c>
      <c r="G101" s="1"/>
      <c r="H101" s="1">
        <f>SUM(OSRRefH22_16x_0)</f>
        <v>160</v>
      </c>
      <c r="I101" s="1"/>
      <c r="J101" s="5">
        <f t="shared" ref="J101:J107" si="63">IF(H$12=0,0,H101/H$12)</f>
        <v>3.8695946599593693E-3</v>
      </c>
      <c r="K101" s="1"/>
      <c r="L101" s="1">
        <f t="shared" ref="L101:L107" si="64">+D101-H101</f>
        <v>-154.05000000000001</v>
      </c>
      <c r="M101" s="1"/>
      <c r="N101" s="5">
        <f t="shared" ref="N101:N107" si="65">IF(H101=0,0,L101/H101)</f>
        <v>-0.96281250000000007</v>
      </c>
      <c r="O101" s="14"/>
      <c r="P101" s="1">
        <f>SUM(OSRRefP22_16x_0)</f>
        <v>559.15</v>
      </c>
      <c r="Q101" s="1"/>
      <c r="R101" s="5">
        <f t="shared" ref="R101:R107" si="66">IF(P$12=0,0,P101/P$12)</f>
        <v>3.0349261570957885E-3</v>
      </c>
      <c r="S101" s="1"/>
      <c r="T101" s="1">
        <f>SUM(OSRRefT22_16x_0)</f>
        <v>1415</v>
      </c>
      <c r="U101" s="1"/>
      <c r="V101" s="5">
        <f t="shared" ref="V101:V107" si="67">IF(T$12=0,0,T101/T$12)</f>
        <v>3.6968045500740667E-3</v>
      </c>
      <c r="W101" s="1"/>
      <c r="X101" s="1">
        <f t="shared" ref="X101:X107" si="68">+P101-T101</f>
        <v>-855.85</v>
      </c>
      <c r="Y101" s="1"/>
      <c r="Z101" s="5">
        <f t="shared" ref="Z101:Z107" si="69">IF(T101=0,0,X101/T101)</f>
        <v>-0.60484098939929332</v>
      </c>
    </row>
    <row r="102" spans="1:26" s="24" customFormat="1" hidden="1" outlineLevel="2" x14ac:dyDescent="0.25">
      <c r="A102" s="27"/>
      <c r="B102" s="11" t="str">
        <f>CONCATENATE("          ", "6234", " - ", "EXPENDABLE SUPPLIES &amp; EQUIPMEN")</f>
        <v xml:space="preserve">          6234 - EXPENDABLE SUPPLIES &amp; EQUIPMEN</v>
      </c>
      <c r="C102" s="11"/>
      <c r="D102" s="7"/>
      <c r="E102" s="2"/>
      <c r="F102" s="6">
        <f t="shared" si="62"/>
        <v>0</v>
      </c>
      <c r="G102" s="2"/>
      <c r="H102" s="7">
        <v>0</v>
      </c>
      <c r="I102" s="2"/>
      <c r="J102" s="6">
        <f t="shared" si="63"/>
        <v>0</v>
      </c>
      <c r="K102" s="2"/>
      <c r="L102" s="7">
        <f t="shared" si="64"/>
        <v>0</v>
      </c>
      <c r="M102" s="2"/>
      <c r="N102" s="6">
        <f t="shared" si="65"/>
        <v>0</v>
      </c>
      <c r="O102" s="11"/>
      <c r="P102" s="7"/>
      <c r="Q102" s="2"/>
      <c r="R102" s="6">
        <f t="shared" si="66"/>
        <v>0</v>
      </c>
      <c r="S102" s="2"/>
      <c r="T102" s="7">
        <v>0</v>
      </c>
      <c r="U102" s="2"/>
      <c r="V102" s="6">
        <f t="shared" si="67"/>
        <v>0</v>
      </c>
      <c r="W102" s="2"/>
      <c r="X102" s="7">
        <f t="shared" si="68"/>
        <v>0</v>
      </c>
      <c r="Y102" s="2"/>
      <c r="Z102" s="6">
        <f t="shared" si="69"/>
        <v>0</v>
      </c>
    </row>
    <row r="103" spans="1:26" s="24" customFormat="1" hidden="1" outlineLevel="2" x14ac:dyDescent="0.25">
      <c r="A103" s="27"/>
      <c r="B103" s="11" t="str">
        <f>CONCATENATE("          ", "6235", " - ", "COVID-19 EXPENSES")</f>
        <v xml:space="preserve">          6235 - COVID-19 EXPENSES</v>
      </c>
      <c r="C103" s="11"/>
      <c r="D103" s="7"/>
      <c r="E103" s="2"/>
      <c r="F103" s="6">
        <f t="shared" si="62"/>
        <v>0</v>
      </c>
      <c r="G103" s="2"/>
      <c r="H103" s="7">
        <v>100</v>
      </c>
      <c r="I103" s="2"/>
      <c r="J103" s="6">
        <f t="shared" si="63"/>
        <v>2.4184966624746056E-3</v>
      </c>
      <c r="K103" s="2"/>
      <c r="L103" s="7">
        <f t="shared" si="64"/>
        <v>-100</v>
      </c>
      <c r="M103" s="2"/>
      <c r="N103" s="6">
        <f t="shared" si="65"/>
        <v>-1</v>
      </c>
      <c r="O103" s="11"/>
      <c r="P103" s="7">
        <v>265.7</v>
      </c>
      <c r="Q103" s="2"/>
      <c r="R103" s="6">
        <f t="shared" si="66"/>
        <v>1.4421530536356095E-3</v>
      </c>
      <c r="S103" s="2"/>
      <c r="T103" s="7">
        <v>800</v>
      </c>
      <c r="U103" s="2"/>
      <c r="V103" s="6">
        <f t="shared" si="67"/>
        <v>2.0900661767203205E-3</v>
      </c>
      <c r="W103" s="2"/>
      <c r="X103" s="7">
        <f t="shared" si="68"/>
        <v>-534.29999999999995</v>
      </c>
      <c r="Y103" s="2"/>
      <c r="Z103" s="6">
        <f t="shared" si="69"/>
        <v>-0.667875</v>
      </c>
    </row>
    <row r="104" spans="1:26" s="24" customFormat="1" hidden="1" outlineLevel="2" x14ac:dyDescent="0.25">
      <c r="A104" s="27"/>
      <c r="B104" s="11" t="str">
        <f>CONCATENATE("          ", "6237", " - ", "JANITORIAL SUPPLIES")</f>
        <v xml:space="preserve">          6237 - JANITORIAL SUPPLIES</v>
      </c>
      <c r="C104" s="11"/>
      <c r="D104" s="7"/>
      <c r="E104" s="2"/>
      <c r="F104" s="6">
        <f t="shared" si="62"/>
        <v>0</v>
      </c>
      <c r="G104" s="2"/>
      <c r="H104" s="7">
        <v>10</v>
      </c>
      <c r="I104" s="2"/>
      <c r="J104" s="6">
        <f t="shared" si="63"/>
        <v>2.4184966624746058E-4</v>
      </c>
      <c r="K104" s="2"/>
      <c r="L104" s="7">
        <f t="shared" si="64"/>
        <v>-10</v>
      </c>
      <c r="M104" s="2"/>
      <c r="N104" s="6">
        <f t="shared" si="65"/>
        <v>-1</v>
      </c>
      <c r="O104" s="11"/>
      <c r="P104" s="7">
        <v>191.74</v>
      </c>
      <c r="Q104" s="2"/>
      <c r="R104" s="6">
        <f t="shared" si="66"/>
        <v>1.0407166974184861E-3</v>
      </c>
      <c r="S104" s="2"/>
      <c r="T104" s="7">
        <v>140</v>
      </c>
      <c r="U104" s="2"/>
      <c r="V104" s="6">
        <f t="shared" si="67"/>
        <v>3.6576158092605605E-4</v>
      </c>
      <c r="W104" s="2"/>
      <c r="X104" s="7">
        <f t="shared" si="68"/>
        <v>51.740000000000009</v>
      </c>
      <c r="Y104" s="2"/>
      <c r="Z104" s="6">
        <f t="shared" si="69"/>
        <v>0.36957142857142866</v>
      </c>
    </row>
    <row r="105" spans="1:26" s="24" customFormat="1" hidden="1" outlineLevel="2" x14ac:dyDescent="0.25">
      <c r="A105" s="27"/>
      <c r="B105" s="11" t="str">
        <f>CONCATENATE("          ", "6241", " - ", "OFFICE EXPENSE")</f>
        <v xml:space="preserve">          6241 - OFFICE EXPENSE</v>
      </c>
      <c r="C105" s="11"/>
      <c r="D105" s="7">
        <v>5.95</v>
      </c>
      <c r="E105" s="2"/>
      <c r="F105" s="6">
        <f t="shared" si="62"/>
        <v>2.8928123094754924E-4</v>
      </c>
      <c r="G105" s="2"/>
      <c r="H105" s="7">
        <v>25</v>
      </c>
      <c r="I105" s="2"/>
      <c r="J105" s="6">
        <f t="shared" si="63"/>
        <v>6.0462416561865139E-4</v>
      </c>
      <c r="K105" s="2"/>
      <c r="L105" s="7">
        <f t="shared" si="64"/>
        <v>-19.05</v>
      </c>
      <c r="M105" s="2"/>
      <c r="N105" s="6">
        <f t="shared" si="65"/>
        <v>-0.76200000000000001</v>
      </c>
      <c r="O105" s="11"/>
      <c r="P105" s="7">
        <v>101.71</v>
      </c>
      <c r="Q105" s="2"/>
      <c r="R105" s="6">
        <f t="shared" si="66"/>
        <v>5.5205640604169299E-4</v>
      </c>
      <c r="S105" s="2"/>
      <c r="T105" s="7">
        <v>200</v>
      </c>
      <c r="U105" s="2"/>
      <c r="V105" s="6">
        <f t="shared" si="67"/>
        <v>5.2251654418008012E-4</v>
      </c>
      <c r="W105" s="2"/>
      <c r="X105" s="7">
        <f t="shared" si="68"/>
        <v>-98.29</v>
      </c>
      <c r="Y105" s="2"/>
      <c r="Z105" s="6">
        <f t="shared" si="69"/>
        <v>-0.49145000000000005</v>
      </c>
    </row>
    <row r="106" spans="1:26" s="24" customFormat="1" hidden="1" outlineLevel="2" x14ac:dyDescent="0.25">
      <c r="A106" s="27"/>
      <c r="B106" s="11" t="str">
        <f>CONCATENATE("          ", "6244", " - ", "SAFETY SUPPLY EXPENSE")</f>
        <v xml:space="preserve">          6244 - SAFETY SUPPLY EXPENSE</v>
      </c>
      <c r="C106" s="11"/>
      <c r="D106" s="7"/>
      <c r="E106" s="2"/>
      <c r="F106" s="6">
        <f t="shared" si="62"/>
        <v>0</v>
      </c>
      <c r="G106" s="2"/>
      <c r="H106" s="7">
        <v>0</v>
      </c>
      <c r="I106" s="2"/>
      <c r="J106" s="6">
        <f t="shared" si="63"/>
        <v>0</v>
      </c>
      <c r="K106" s="2"/>
      <c r="L106" s="7">
        <f t="shared" si="64"/>
        <v>0</v>
      </c>
      <c r="M106" s="2"/>
      <c r="N106" s="6">
        <f t="shared" si="65"/>
        <v>0</v>
      </c>
      <c r="O106" s="11"/>
      <c r="P106" s="7"/>
      <c r="Q106" s="2"/>
      <c r="R106" s="6">
        <f t="shared" si="66"/>
        <v>0</v>
      </c>
      <c r="S106" s="2"/>
      <c r="T106" s="7">
        <v>75</v>
      </c>
      <c r="U106" s="2"/>
      <c r="V106" s="6">
        <f t="shared" si="67"/>
        <v>1.9594370406753004E-4</v>
      </c>
      <c r="W106" s="2"/>
      <c r="X106" s="7">
        <f t="shared" si="68"/>
        <v>-75</v>
      </c>
      <c r="Y106" s="2"/>
      <c r="Z106" s="6">
        <f t="shared" si="69"/>
        <v>-1</v>
      </c>
    </row>
    <row r="107" spans="1:26" s="24" customFormat="1" hidden="1" outlineLevel="2" x14ac:dyDescent="0.25">
      <c r="A107" s="27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62"/>
        <v>0</v>
      </c>
      <c r="G107" s="2"/>
      <c r="H107" s="7">
        <v>25</v>
      </c>
      <c r="I107" s="2"/>
      <c r="J107" s="6">
        <f t="shared" si="63"/>
        <v>6.0462416561865139E-4</v>
      </c>
      <c r="K107" s="2"/>
      <c r="L107" s="7">
        <f t="shared" si="64"/>
        <v>-25</v>
      </c>
      <c r="M107" s="2"/>
      <c r="N107" s="6">
        <f t="shared" si="65"/>
        <v>-1</v>
      </c>
      <c r="O107" s="11"/>
      <c r="P107" s="7"/>
      <c r="Q107" s="2"/>
      <c r="R107" s="6">
        <f t="shared" si="66"/>
        <v>0</v>
      </c>
      <c r="S107" s="2"/>
      <c r="T107" s="7">
        <v>200</v>
      </c>
      <c r="U107" s="2"/>
      <c r="V107" s="6">
        <f t="shared" si="67"/>
        <v>5.2251654418008012E-4</v>
      </c>
      <c r="W107" s="2"/>
      <c r="X107" s="7">
        <f t="shared" si="68"/>
        <v>-200</v>
      </c>
      <c r="Y107" s="2"/>
      <c r="Z107" s="6">
        <f t="shared" si="69"/>
        <v>-1</v>
      </c>
    </row>
    <row r="108" spans="1:26" s="28" customFormat="1" outlineLevel="1" collapsed="1" x14ac:dyDescent="0.25">
      <c r="A108" s="29"/>
      <c r="B108" s="14" t="str">
        <f>CONCATENATE("     ","Telephone/Data Lines                              ")</f>
        <v xml:space="preserve">     Telephone/Data Lines                              </v>
      </c>
      <c r="C108" s="14"/>
      <c r="D108" s="1">
        <f>SUM(OSRRefD22_17x_0)</f>
        <v>30.44</v>
      </c>
      <c r="E108" s="1"/>
      <c r="F108" s="5">
        <f t="shared" ref="F108:F110" si="70">IF(D$12=0,0,D108/D$12)</f>
        <v>1.4799530537888065E-3</v>
      </c>
      <c r="G108" s="1"/>
      <c r="H108" s="1">
        <f>SUM(OSRRefH22_17x_0)</f>
        <v>230</v>
      </c>
      <c r="I108" s="1"/>
      <c r="J108" s="5">
        <f t="shared" ref="J108:J110" si="71">IF(H$12=0,0,H108/H$12)</f>
        <v>5.5625423236915937E-3</v>
      </c>
      <c r="K108" s="1"/>
      <c r="L108" s="1">
        <f t="shared" ref="L108:L110" si="72">+D108-H108</f>
        <v>-199.56</v>
      </c>
      <c r="M108" s="1"/>
      <c r="N108" s="5">
        <f t="shared" ref="N108:N110" si="73">IF(H108=0,0,L108/H108)</f>
        <v>-0.8676521739130435</v>
      </c>
      <c r="O108" s="14"/>
      <c r="P108" s="1">
        <f>SUM(OSRRefP22_17x_0)</f>
        <v>2327.64</v>
      </c>
      <c r="Q108" s="1"/>
      <c r="R108" s="5">
        <f t="shared" ref="R108:R110" si="74">IF(P$12=0,0,P108/P$12)</f>
        <v>1.2633846946798607E-2</v>
      </c>
      <c r="S108" s="1"/>
      <c r="T108" s="1">
        <f>SUM(OSRRefT22_17x_0)</f>
        <v>1840</v>
      </c>
      <c r="U108" s="1"/>
      <c r="V108" s="5">
        <f t="shared" ref="V108:V110" si="75">IF(T$12=0,0,T108/T$12)</f>
        <v>4.8071522064567366E-3</v>
      </c>
      <c r="W108" s="1"/>
      <c r="X108" s="1">
        <f t="shared" ref="X108:X110" si="76">+P108-T108</f>
        <v>487.63999999999987</v>
      </c>
      <c r="Y108" s="1"/>
      <c r="Z108" s="5">
        <f t="shared" ref="Z108:Z110" si="77">IF(T108=0,0,X108/T108)</f>
        <v>0.2650217391304347</v>
      </c>
    </row>
    <row r="109" spans="1:26" s="24" customFormat="1" hidden="1" outlineLevel="2" x14ac:dyDescent="0.25">
      <c r="A109" s="27"/>
      <c r="B109" s="11" t="str">
        <f>CONCATENATE("          ", "6303", " - ", "DATA PHONE LINES")</f>
        <v xml:space="preserve">          6303 - DATA PHONE LINES</v>
      </c>
      <c r="C109" s="11"/>
      <c r="D109" s="7"/>
      <c r="E109" s="2"/>
      <c r="F109" s="6">
        <f t="shared" si="70"/>
        <v>0</v>
      </c>
      <c r="G109" s="2"/>
      <c r="H109" s="7">
        <v>230</v>
      </c>
      <c r="I109" s="2"/>
      <c r="J109" s="6">
        <f t="shared" si="71"/>
        <v>5.5625423236915937E-3</v>
      </c>
      <c r="K109" s="2"/>
      <c r="L109" s="7">
        <f t="shared" si="72"/>
        <v>-230</v>
      </c>
      <c r="M109" s="2"/>
      <c r="N109" s="6">
        <f t="shared" si="73"/>
        <v>-1</v>
      </c>
      <c r="O109" s="11"/>
      <c r="P109" s="7"/>
      <c r="Q109" s="2"/>
      <c r="R109" s="6">
        <f t="shared" si="74"/>
        <v>0</v>
      </c>
      <c r="S109" s="2"/>
      <c r="T109" s="7">
        <v>1840</v>
      </c>
      <c r="U109" s="2"/>
      <c r="V109" s="6">
        <f t="shared" si="75"/>
        <v>4.8071522064567366E-3</v>
      </c>
      <c r="W109" s="2"/>
      <c r="X109" s="7">
        <f t="shared" si="76"/>
        <v>-1840</v>
      </c>
      <c r="Y109" s="2"/>
      <c r="Z109" s="6">
        <f t="shared" si="77"/>
        <v>-1</v>
      </c>
    </row>
    <row r="110" spans="1:26" s="24" customFormat="1" hidden="1" outlineLevel="2" x14ac:dyDescent="0.25">
      <c r="A110" s="27"/>
      <c r="B110" s="11" t="str">
        <f>CONCATENATE("          ", "6309", " - ", "TELEPHONE")</f>
        <v xml:space="preserve">          6309 - TELEPHONE</v>
      </c>
      <c r="C110" s="11"/>
      <c r="D110" s="7">
        <v>30.44</v>
      </c>
      <c r="E110" s="2"/>
      <c r="F110" s="6">
        <f t="shared" si="70"/>
        <v>1.4799530537888065E-3</v>
      </c>
      <c r="G110" s="2"/>
      <c r="H110" s="7"/>
      <c r="I110" s="2"/>
      <c r="J110" s="6">
        <f t="shared" si="71"/>
        <v>0</v>
      </c>
      <c r="K110" s="2"/>
      <c r="L110" s="7">
        <f t="shared" si="72"/>
        <v>30.44</v>
      </c>
      <c r="M110" s="2"/>
      <c r="N110" s="6">
        <f t="shared" si="73"/>
        <v>0</v>
      </c>
      <c r="O110" s="11"/>
      <c r="P110" s="7">
        <v>2327.64</v>
      </c>
      <c r="Q110" s="2"/>
      <c r="R110" s="6">
        <f t="shared" si="74"/>
        <v>1.2633846946798607E-2</v>
      </c>
      <c r="S110" s="2"/>
      <c r="T110" s="7"/>
      <c r="U110" s="2"/>
      <c r="V110" s="6">
        <f t="shared" si="75"/>
        <v>0</v>
      </c>
      <c r="W110" s="2"/>
      <c r="X110" s="7">
        <f t="shared" si="76"/>
        <v>2327.64</v>
      </c>
      <c r="Y110" s="2"/>
      <c r="Z110" s="6">
        <f t="shared" si="77"/>
        <v>0</v>
      </c>
    </row>
    <row r="111" spans="1:26" s="28" customFormat="1" outlineLevel="1" collapsed="1" x14ac:dyDescent="0.25">
      <c r="A111" s="29"/>
      <c r="B111" s="14" t="str">
        <f>CONCATENATE("     ","Training                                          ")</f>
        <v xml:space="preserve">     Training                                          </v>
      </c>
      <c r="C111" s="14"/>
      <c r="D111" s="1">
        <f>SUM(OSRRefD22_18x_0)</f>
        <v>0</v>
      </c>
      <c r="E111" s="1"/>
      <c r="F111" s="5">
        <f t="shared" ref="F111:F115" si="78">IF(D$12=0,0,D111/D$12)</f>
        <v>0</v>
      </c>
      <c r="G111" s="1"/>
      <c r="H111" s="1">
        <f>SUM(OSRRefH22_18x_0)</f>
        <v>0</v>
      </c>
      <c r="I111" s="1"/>
      <c r="J111" s="5">
        <f t="shared" ref="J111:J115" si="79">IF(H$12=0,0,H111/H$12)</f>
        <v>0</v>
      </c>
      <c r="K111" s="1"/>
      <c r="L111" s="1">
        <f t="shared" ref="L111:L115" si="80">+D111-H111</f>
        <v>0</v>
      </c>
      <c r="M111" s="1"/>
      <c r="N111" s="5">
        <f t="shared" ref="N111:N115" si="81">IF(H111=0,0,L111/H111)</f>
        <v>0</v>
      </c>
      <c r="O111" s="14"/>
      <c r="P111" s="1">
        <f>SUM(OSRRefP22_18x_0)</f>
        <v>0</v>
      </c>
      <c r="Q111" s="1"/>
      <c r="R111" s="5">
        <f t="shared" ref="R111:R115" si="82">IF(P$12=0,0,P111/P$12)</f>
        <v>0</v>
      </c>
      <c r="S111" s="1"/>
      <c r="T111" s="1">
        <f>SUM(OSRRefT22_18x_0)</f>
        <v>0</v>
      </c>
      <c r="U111" s="1"/>
      <c r="V111" s="5">
        <f t="shared" ref="V111:V115" si="83">IF(T$12=0,0,T111/T$12)</f>
        <v>0</v>
      </c>
      <c r="W111" s="1"/>
      <c r="X111" s="1">
        <f t="shared" ref="X111:X115" si="84">+P111-T111</f>
        <v>0</v>
      </c>
      <c r="Y111" s="1"/>
      <c r="Z111" s="5">
        <f t="shared" ref="Z111:Z115" si="85">IF(T111=0,0,X111/T111)</f>
        <v>0</v>
      </c>
    </row>
    <row r="112" spans="1:26" s="24" customFormat="1" hidden="1" outlineLevel="2" x14ac:dyDescent="0.25">
      <c r="A112" s="27"/>
      <c r="B112" s="11" t="str">
        <f>CONCATENATE("          ", "6376", " - ", "TRAINING")</f>
        <v xml:space="preserve">          6376 - TRAINING</v>
      </c>
      <c r="C112" s="11"/>
      <c r="D112" s="7"/>
      <c r="E112" s="2"/>
      <c r="F112" s="6">
        <f t="shared" si="78"/>
        <v>0</v>
      </c>
      <c r="G112" s="2"/>
      <c r="H112" s="7">
        <v>0</v>
      </c>
      <c r="I112" s="2"/>
      <c r="J112" s="6">
        <f t="shared" si="79"/>
        <v>0</v>
      </c>
      <c r="K112" s="2"/>
      <c r="L112" s="7">
        <f t="shared" si="80"/>
        <v>0</v>
      </c>
      <c r="M112" s="2"/>
      <c r="N112" s="6">
        <f t="shared" si="81"/>
        <v>0</v>
      </c>
      <c r="O112" s="11"/>
      <c r="P112" s="7"/>
      <c r="Q112" s="2"/>
      <c r="R112" s="6">
        <f t="shared" si="82"/>
        <v>0</v>
      </c>
      <c r="S112" s="2"/>
      <c r="T112" s="7">
        <v>0</v>
      </c>
      <c r="U112" s="2"/>
      <c r="V112" s="6">
        <f t="shared" si="83"/>
        <v>0</v>
      </c>
      <c r="W112" s="2"/>
      <c r="X112" s="7">
        <f t="shared" si="84"/>
        <v>0</v>
      </c>
      <c r="Y112" s="2"/>
      <c r="Z112" s="6">
        <f t="shared" si="85"/>
        <v>0</v>
      </c>
    </row>
    <row r="113" spans="1:26" s="28" customFormat="1" outlineLevel="1" collapsed="1" x14ac:dyDescent="0.25">
      <c r="A113" s="29"/>
      <c r="B113" s="14" t="str">
        <f>CONCATENATE("     ","Travel                                            ")</f>
        <v xml:space="preserve">     Travel                                            </v>
      </c>
      <c r="C113" s="14"/>
      <c r="D113" s="1">
        <f>SUM(OSRRefD22_19x_0)</f>
        <v>0</v>
      </c>
      <c r="E113" s="1"/>
      <c r="F113" s="5">
        <f t="shared" si="78"/>
        <v>0</v>
      </c>
      <c r="G113" s="1"/>
      <c r="H113" s="1">
        <f>SUM(OSRRefH22_19x_0)</f>
        <v>25</v>
      </c>
      <c r="I113" s="1"/>
      <c r="J113" s="5">
        <f t="shared" si="79"/>
        <v>6.0462416561865139E-4</v>
      </c>
      <c r="K113" s="1"/>
      <c r="L113" s="1">
        <f t="shared" si="80"/>
        <v>-25</v>
      </c>
      <c r="M113" s="1"/>
      <c r="N113" s="5">
        <f t="shared" si="81"/>
        <v>-1</v>
      </c>
      <c r="O113" s="14"/>
      <c r="P113" s="1">
        <f>SUM(OSRRefP22_19x_0)</f>
        <v>381.34</v>
      </c>
      <c r="Q113" s="1"/>
      <c r="R113" s="5">
        <f t="shared" si="82"/>
        <v>2.0698180108144645E-3</v>
      </c>
      <c r="S113" s="1"/>
      <c r="T113" s="1">
        <f>SUM(OSRRefT22_19x_0)</f>
        <v>400</v>
      </c>
      <c r="U113" s="1"/>
      <c r="V113" s="5">
        <f t="shared" si="83"/>
        <v>1.0450330883601602E-3</v>
      </c>
      <c r="W113" s="1"/>
      <c r="X113" s="1">
        <f t="shared" si="84"/>
        <v>-18.660000000000025</v>
      </c>
      <c r="Y113" s="1"/>
      <c r="Z113" s="5">
        <f t="shared" si="85"/>
        <v>-4.6650000000000059E-2</v>
      </c>
    </row>
    <row r="114" spans="1:26" s="24" customFormat="1" hidden="1" outlineLevel="2" x14ac:dyDescent="0.25">
      <c r="A114" s="27"/>
      <c r="B114" s="11" t="str">
        <f>CONCATENATE("          ", "6294", " - ", "TRAVEL OPERATIONAL")</f>
        <v xml:space="preserve">          6294 - TRAVEL OPERATIONAL</v>
      </c>
      <c r="C114" s="11"/>
      <c r="D114" s="7"/>
      <c r="E114" s="2"/>
      <c r="F114" s="6">
        <f t="shared" si="78"/>
        <v>0</v>
      </c>
      <c r="G114" s="2"/>
      <c r="H114" s="7"/>
      <c r="I114" s="2"/>
      <c r="J114" s="6">
        <f t="shared" si="79"/>
        <v>0</v>
      </c>
      <c r="K114" s="2"/>
      <c r="L114" s="7">
        <f t="shared" si="80"/>
        <v>0</v>
      </c>
      <c r="M114" s="2"/>
      <c r="N114" s="6">
        <f t="shared" si="81"/>
        <v>0</v>
      </c>
      <c r="O114" s="11"/>
      <c r="P114" s="7">
        <v>381.34</v>
      </c>
      <c r="Q114" s="2"/>
      <c r="R114" s="6">
        <f t="shared" si="82"/>
        <v>2.0698180108144645E-3</v>
      </c>
      <c r="S114" s="2"/>
      <c r="T114" s="7"/>
      <c r="U114" s="2"/>
      <c r="V114" s="6">
        <f t="shared" si="83"/>
        <v>0</v>
      </c>
      <c r="W114" s="2"/>
      <c r="X114" s="7">
        <f t="shared" si="84"/>
        <v>381.34</v>
      </c>
      <c r="Y114" s="2"/>
      <c r="Z114" s="6">
        <f t="shared" si="85"/>
        <v>0</v>
      </c>
    </row>
    <row r="115" spans="1:26" s="24" customFormat="1" hidden="1" outlineLevel="2" x14ac:dyDescent="0.25">
      <c r="A115" s="27"/>
      <c r="B115" s="11" t="str">
        <f>CONCATENATE("          ", "6298", " - ", "VEHICLE MILEAGE")</f>
        <v xml:space="preserve">          6298 - VEHICLE MILEAGE</v>
      </c>
      <c r="C115" s="11"/>
      <c r="D115" s="7"/>
      <c r="E115" s="2"/>
      <c r="F115" s="6">
        <f t="shared" si="78"/>
        <v>0</v>
      </c>
      <c r="G115" s="2"/>
      <c r="H115" s="7">
        <v>25</v>
      </c>
      <c r="I115" s="2"/>
      <c r="J115" s="6">
        <f t="shared" si="79"/>
        <v>6.0462416561865139E-4</v>
      </c>
      <c r="K115" s="2"/>
      <c r="L115" s="7">
        <f t="shared" si="80"/>
        <v>-25</v>
      </c>
      <c r="M115" s="2"/>
      <c r="N115" s="6">
        <f t="shared" si="81"/>
        <v>-1</v>
      </c>
      <c r="O115" s="11"/>
      <c r="P115" s="7"/>
      <c r="Q115" s="2"/>
      <c r="R115" s="6">
        <f t="shared" si="82"/>
        <v>0</v>
      </c>
      <c r="S115" s="2"/>
      <c r="T115" s="7">
        <v>400</v>
      </c>
      <c r="U115" s="2"/>
      <c r="V115" s="6">
        <f t="shared" si="83"/>
        <v>1.0450330883601602E-3</v>
      </c>
      <c r="W115" s="2"/>
      <c r="X115" s="7">
        <f t="shared" si="84"/>
        <v>-400</v>
      </c>
      <c r="Y115" s="2"/>
      <c r="Z115" s="6">
        <f t="shared" si="85"/>
        <v>-1</v>
      </c>
    </row>
    <row r="116" spans="1:26" s="28" customFormat="1" outlineLevel="1" collapsed="1" x14ac:dyDescent="0.25">
      <c r="A116" s="29"/>
      <c r="B116" s="14" t="str">
        <f>CONCATENATE("     ","Utilities                                         ")</f>
        <v xml:space="preserve">     Utilities                                         </v>
      </c>
      <c r="C116" s="14"/>
      <c r="D116" s="1">
        <f>SUM(OSRRefD22_20x_0)</f>
        <v>28.14</v>
      </c>
      <c r="E116" s="1"/>
      <c r="F116" s="5">
        <f t="shared" ref="F116:F117" si="86">IF(D$12=0,0,D116/D$12)</f>
        <v>1.3681300569519386E-3</v>
      </c>
      <c r="G116" s="1"/>
      <c r="H116" s="1">
        <f>SUM(OSRRefH22_20x_0)</f>
        <v>2800</v>
      </c>
      <c r="I116" s="1"/>
      <c r="J116" s="5">
        <f t="shared" ref="J116:J117" si="87">IF(H$12=0,0,H116/H$12)</f>
        <v>6.7717906549288956E-2</v>
      </c>
      <c r="K116" s="1"/>
      <c r="L116" s="1">
        <f t="shared" ref="L116:L117" si="88">+D116-H116</f>
        <v>-2771.86</v>
      </c>
      <c r="M116" s="1"/>
      <c r="N116" s="5">
        <f t="shared" ref="N116:N117" si="89">IF(H116=0,0,L116/H116)</f>
        <v>-0.98995</v>
      </c>
      <c r="O116" s="14"/>
      <c r="P116" s="1">
        <f>SUM(OSRRefP22_20x_0)</f>
        <v>205.15</v>
      </c>
      <c r="Q116" s="1"/>
      <c r="R116" s="5">
        <f t="shared" ref="R116:R117" si="90">IF(P$12=0,0,P116/P$12)</f>
        <v>1.1135028187931701E-3</v>
      </c>
      <c r="S116" s="1"/>
      <c r="T116" s="1">
        <f>SUM(OSRRefT22_20x_0)</f>
        <v>3775</v>
      </c>
      <c r="U116" s="1"/>
      <c r="V116" s="5">
        <f t="shared" ref="V116:V117" si="91">IF(T$12=0,0,T116/T$12)</f>
        <v>9.8624997713990126E-3</v>
      </c>
      <c r="W116" s="1"/>
      <c r="X116" s="1">
        <f t="shared" ref="X116:X117" si="92">+P116-T116</f>
        <v>-3569.85</v>
      </c>
      <c r="Y116" s="1"/>
      <c r="Z116" s="5">
        <f t="shared" ref="Z116:Z117" si="93">IF(T116=0,0,X116/T116)</f>
        <v>-0.94565562913907286</v>
      </c>
    </row>
    <row r="117" spans="1:26" s="24" customFormat="1" hidden="1" outlineLevel="2" x14ac:dyDescent="0.25">
      <c r="A117" s="27"/>
      <c r="B117" s="11" t="str">
        <f>CONCATENATE("          ", "6274", " - ", "UTILITIES")</f>
        <v xml:space="preserve">          6274 - UTILITIES</v>
      </c>
      <c r="C117" s="11"/>
      <c r="D117" s="7">
        <v>28.14</v>
      </c>
      <c r="E117" s="2"/>
      <c r="F117" s="6">
        <f t="shared" si="86"/>
        <v>1.3681300569519386E-3</v>
      </c>
      <c r="G117" s="2"/>
      <c r="H117" s="7">
        <v>2800</v>
      </c>
      <c r="I117" s="2"/>
      <c r="J117" s="6">
        <f t="shared" si="87"/>
        <v>6.7717906549288956E-2</v>
      </c>
      <c r="K117" s="2"/>
      <c r="L117" s="7">
        <f t="shared" si="88"/>
        <v>-2771.86</v>
      </c>
      <c r="M117" s="2"/>
      <c r="N117" s="6">
        <f t="shared" si="89"/>
        <v>-0.98995</v>
      </c>
      <c r="O117" s="11"/>
      <c r="P117" s="7">
        <v>205.15</v>
      </c>
      <c r="Q117" s="2"/>
      <c r="R117" s="6">
        <f t="shared" si="90"/>
        <v>1.1135028187931701E-3</v>
      </c>
      <c r="S117" s="2"/>
      <c r="T117" s="7">
        <v>3775</v>
      </c>
      <c r="U117" s="2"/>
      <c r="V117" s="6">
        <f t="shared" si="91"/>
        <v>9.8624997713990126E-3</v>
      </c>
      <c r="W117" s="2"/>
      <c r="X117" s="7">
        <f t="shared" si="92"/>
        <v>-3569.85</v>
      </c>
      <c r="Y117" s="2"/>
      <c r="Z117" s="6">
        <f t="shared" si="93"/>
        <v>-0.94565562913907286</v>
      </c>
    </row>
    <row r="118" spans="1:26" s="58" customFormat="1" x14ac:dyDescent="0.25">
      <c r="A118" s="36"/>
      <c r="B118" s="36"/>
      <c r="C118" s="36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6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x14ac:dyDescent="0.25">
      <c r="A119" s="10"/>
      <c r="B119" s="26" t="s">
        <v>0</v>
      </c>
      <c r="C119" s="10"/>
      <c r="D119" s="4">
        <f>SUM(0)</f>
        <v>0</v>
      </c>
      <c r="E119" s="4"/>
      <c r="F119" s="12">
        <f>IF(D$12=0,0,D119/D$12)</f>
        <v>0</v>
      </c>
      <c r="G119" s="4"/>
      <c r="H119" s="4">
        <f>SUM(0)</f>
        <v>0</v>
      </c>
      <c r="I119" s="4"/>
      <c r="J119" s="12">
        <f>IF(H$12=0,0,H119/H$12)</f>
        <v>0</v>
      </c>
      <c r="K119" s="4"/>
      <c r="L119" s="4">
        <f>+D119-H119</f>
        <v>0</v>
      </c>
      <c r="M119" s="4"/>
      <c r="N119" s="12">
        <f>IF(H119=0,0,L119/H119)</f>
        <v>0</v>
      </c>
      <c r="O119" s="10"/>
      <c r="P119" s="4">
        <f>SUM(0)</f>
        <v>0</v>
      </c>
      <c r="Q119" s="4"/>
      <c r="R119" s="12">
        <f>IF(P$12=0,0,P119/P$12)</f>
        <v>0</v>
      </c>
      <c r="S119" s="4"/>
      <c r="T119" s="4">
        <f>SUM(0)</f>
        <v>0</v>
      </c>
      <c r="U119" s="4"/>
      <c r="V119" s="12">
        <f>IF(T$12=0,0,T119/T$12)</f>
        <v>0</v>
      </c>
      <c r="W119" s="4"/>
      <c r="X119" s="4">
        <f>+P119-T119</f>
        <v>0</v>
      </c>
      <c r="Y119" s="4"/>
      <c r="Z119" s="12">
        <f>IF(T119=0,0,X119/T119)</f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5" t="s">
        <v>3</v>
      </c>
      <c r="C121" s="25"/>
      <c r="D121" s="19">
        <f>+D43-D45+D119</f>
        <v>-7940.32</v>
      </c>
      <c r="E121" s="13"/>
      <c r="F121" s="21">
        <f>IF(D$12=0,0,D121/D$12)</f>
        <v>-0.3860479905407469</v>
      </c>
      <c r="G121" s="13"/>
      <c r="H121" s="19">
        <f>+H43-H45+H119</f>
        <v>-3075.1787618461531</v>
      </c>
      <c r="I121" s="13"/>
      <c r="J121" s="21">
        <f>IF(H$12=0,0,H121/H$12)</f>
        <v>-7.4373095720377119E-2</v>
      </c>
      <c r="K121" s="15"/>
      <c r="L121" s="19">
        <f>+D121-H121</f>
        <v>-4865.1412381538466</v>
      </c>
      <c r="M121" s="15"/>
      <c r="N121" s="21">
        <f>IF(H121=0,0,L121/H121)</f>
        <v>1.5820677804216843</v>
      </c>
      <c r="O121" s="26"/>
      <c r="P121" s="19">
        <f>+P43-P45+P119</f>
        <v>-69876.009999999951</v>
      </c>
      <c r="Q121" s="13"/>
      <c r="R121" s="21">
        <f>IF(P$12=0,0,P121/P$12)</f>
        <v>-0.37926948136007643</v>
      </c>
      <c r="S121" s="13"/>
      <c r="T121" s="19">
        <f>+T43-T45+T119</f>
        <v>8347.2714858461695</v>
      </c>
      <c r="U121" s="13"/>
      <c r="V121" s="21">
        <f>IF(T$12=0,0,T121/T$12)</f>
        <v>2.1807937250586315E-2</v>
      </c>
      <c r="W121" s="15"/>
      <c r="X121" s="19">
        <f>+P121-T121</f>
        <v>-78223.281485846121</v>
      </c>
      <c r="Y121" s="15"/>
      <c r="Z121" s="21">
        <f>IF(T121=0,0,X121/T121)</f>
        <v>-9.3711198465850032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14</v>
      </c>
      <c r="C123" s="10"/>
      <c r="D123" s="4">
        <v>6775.33</v>
      </c>
      <c r="E123" s="4"/>
      <c r="F123" s="12">
        <f>IF(D$12=0,0,D123/D$12)</f>
        <v>0.32940769789510227</v>
      </c>
      <c r="G123" s="4"/>
      <c r="H123" s="4">
        <v>6577</v>
      </c>
      <c r="I123" s="4"/>
      <c r="J123" s="12">
        <f>IF(H$12=0,0,H123/H$12)</f>
        <v>0.15906452549095482</v>
      </c>
      <c r="K123" s="4"/>
      <c r="L123" s="4">
        <f>+D123-H123</f>
        <v>198.32999999999993</v>
      </c>
      <c r="M123" s="4"/>
      <c r="N123" s="12">
        <f>IF(H123=0,0,L123/H123)</f>
        <v>3.0155085905427995E-2</v>
      </c>
      <c r="O123" s="10"/>
      <c r="P123" s="4">
        <v>36485.800000000003</v>
      </c>
      <c r="Q123" s="4"/>
      <c r="R123" s="12">
        <f>IF(P$12=0,0,P123/P$12)</f>
        <v>0.19803578428429855</v>
      </c>
      <c r="S123" s="4"/>
      <c r="T123" s="4">
        <v>65828</v>
      </c>
      <c r="U123" s="4"/>
      <c r="V123" s="12">
        <f>IF(T$12=0,0,T123/T$12)</f>
        <v>0.17198109535143155</v>
      </c>
      <c r="W123" s="4"/>
      <c r="X123" s="4">
        <f>+P123-T123</f>
        <v>-29342.199999999997</v>
      </c>
      <c r="Y123" s="4"/>
      <c r="Z123" s="12">
        <f>IF(T123=0,0,X123/T123)</f>
        <v>-0.44574041441331952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4</v>
      </c>
      <c r="C125" s="25"/>
      <c r="D125" s="34">
        <f>+D121-D123</f>
        <v>-14715.65</v>
      </c>
      <c r="E125" s="13"/>
      <c r="F125" s="30">
        <f>IF(D$12=0,0,D125/D$12)</f>
        <v>-0.71545568843584917</v>
      </c>
      <c r="G125" s="13"/>
      <c r="H125" s="34">
        <f>+H121-H123</f>
        <v>-9652.1787618461531</v>
      </c>
      <c r="I125" s="13"/>
      <c r="J125" s="30">
        <f>IF(H$12=0,0,H125/H$12)</f>
        <v>-0.23343762121133194</v>
      </c>
      <c r="K125" s="15"/>
      <c r="L125" s="34">
        <f>D125-H125</f>
        <v>-5063.4712381538466</v>
      </c>
      <c r="M125" s="15"/>
      <c r="N125" s="30">
        <f>IF(H125=0,0,L125/H125)</f>
        <v>0.52459360348454287</v>
      </c>
      <c r="O125" s="26"/>
      <c r="P125" s="34">
        <f>+P121-P123</f>
        <v>-106361.80999999995</v>
      </c>
      <c r="Q125" s="13"/>
      <c r="R125" s="30">
        <f>IF(P$12=0,0,P125/P$12)</f>
        <v>-0.57730526564437501</v>
      </c>
      <c r="S125" s="13"/>
      <c r="T125" s="34">
        <f>+T121-T123</f>
        <v>-57480.72851415383</v>
      </c>
      <c r="U125" s="13"/>
      <c r="V125" s="30">
        <f>IF(T$12=0,0,T125/T$12)</f>
        <v>-0.15017315810084525</v>
      </c>
      <c r="W125" s="15"/>
      <c r="X125" s="34">
        <f>P125-T125</f>
        <v>-48881.081485846124</v>
      </c>
      <c r="Y125" s="15"/>
      <c r="Z125" s="30">
        <f>IF(T125=0,0,X125/T125)</f>
        <v>0.85039077877744429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5" t="s">
        <v>5</v>
      </c>
      <c r="C128" s="25"/>
      <c r="D128" s="35">
        <f>SUM(D125:D127)</f>
        <v>-14715.65</v>
      </c>
      <c r="E128" s="13"/>
      <c r="F128" s="31">
        <f>IF(D$12=0,0,D128/D$12)</f>
        <v>-0.71545568843584917</v>
      </c>
      <c r="G128" s="13"/>
      <c r="H128" s="35">
        <f>SUM(H125:H127)</f>
        <v>-9652.1787618461531</v>
      </c>
      <c r="I128" s="13"/>
      <c r="J128" s="31">
        <f>IF(H$12=0,0,H128/H$12)</f>
        <v>-0.23343762121133194</v>
      </c>
      <c r="K128" s="15"/>
      <c r="L128" s="35">
        <f>+D128-H128</f>
        <v>-5063.4712381538466</v>
      </c>
      <c r="M128" s="15"/>
      <c r="N128" s="31">
        <f>IF(H128=0,0,L128/H128)</f>
        <v>0.52459360348454287</v>
      </c>
      <c r="O128" s="26"/>
      <c r="P128" s="35">
        <f>SUM(P125:P127)</f>
        <v>-106361.80999999995</v>
      </c>
      <c r="Q128" s="13"/>
      <c r="R128" s="31">
        <f>IF(P$12=0,0,P128/P$12)</f>
        <v>-0.57730526564437501</v>
      </c>
      <c r="S128" s="13"/>
      <c r="T128" s="35">
        <f>SUM(T125:T127)</f>
        <v>-57480.72851415383</v>
      </c>
      <c r="U128" s="13"/>
      <c r="V128" s="31">
        <f>IF(T$12=0,0,T128/T$12)</f>
        <v>-0.15017315810084525</v>
      </c>
      <c r="W128" s="15"/>
      <c r="X128" s="35">
        <f>+P128-T128</f>
        <v>-48881.081485846124</v>
      </c>
      <c r="Y128" s="15"/>
      <c r="Z128" s="31">
        <f>IF(T128=0,0,X128/T128)</f>
        <v>0.85039077877744429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3">
        <v>44267.671978043982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62" t="s">
        <v>314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57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2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5"/>
      <c r="L22" s="19">
        <f>+D22-H22</f>
        <v>0</v>
      </c>
      <c r="M22" s="15"/>
      <c r="N22" s="21">
        <f>IF(H22=0,0,L22/H22)</f>
        <v>0</v>
      </c>
      <c r="O22" s="26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5"/>
      <c r="X22" s="19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--233369.99</f>
        <v>233369.99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218369.99</v>
      </c>
      <c r="M28" s="4"/>
      <c r="N28" s="12">
        <f t="shared" ref="N28:N29" si="4">IF(H28=0,0,L28/H28)</f>
        <v>14.557999333333333</v>
      </c>
      <c r="O28" s="10"/>
      <c r="P28" s="4">
        <f>--2191553.97</f>
        <v>2191553.9700000002</v>
      </c>
      <c r="Q28" s="4"/>
      <c r="R28" s="12">
        <f t="shared" ref="R28:R29" si="5">IF(P$12=0,0,P28/P$12)</f>
        <v>0</v>
      </c>
      <c r="S28" s="4"/>
      <c r="T28" s="4">
        <f t="shared" ref="T28:T29" si="6">--120000</f>
        <v>120000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2071553.9700000002</v>
      </c>
      <c r="Y28" s="4"/>
      <c r="Z28" s="12">
        <f t="shared" ref="Z28:Z29" si="9">IF(T28=0,0,X28/T28)</f>
        <v>17.262949750000001</v>
      </c>
    </row>
    <row r="29" spans="1:26" s="23" customFormat="1" x14ac:dyDescent="0.25">
      <c r="A29" s="52"/>
      <c r="B29" s="10" t="s">
        <v>1</v>
      </c>
      <c r="C29" s="10"/>
      <c r="D29" s="4">
        <f>--12479.26</f>
        <v>12479.26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-2520.7399999999998</v>
      </c>
      <c r="M29" s="4"/>
      <c r="N29" s="12">
        <f t="shared" si="4"/>
        <v>-0.16804933333333333</v>
      </c>
      <c r="O29" s="10"/>
      <c r="P29" s="4">
        <f>--67055.26</f>
        <v>67055.259999999995</v>
      </c>
      <c r="Q29" s="4"/>
      <c r="R29" s="12">
        <f t="shared" si="5"/>
        <v>0</v>
      </c>
      <c r="S29" s="4"/>
      <c r="T29" s="4">
        <f t="shared" si="6"/>
        <v>120000</v>
      </c>
      <c r="U29" s="4"/>
      <c r="V29" s="12">
        <f t="shared" si="7"/>
        <v>0</v>
      </c>
      <c r="W29" s="4"/>
      <c r="X29" s="4">
        <f t="shared" si="8"/>
        <v>-52944.740000000005</v>
      </c>
      <c r="Y29" s="4"/>
      <c r="Z29" s="12">
        <f t="shared" si="9"/>
        <v>-0.44120616666666673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5">
        <f>SUM(D26:D30)</f>
        <v>245849.25</v>
      </c>
      <c r="E31" s="13"/>
      <c r="F31" s="31">
        <f>IF(D$12=0,0,D31/D$12)</f>
        <v>0</v>
      </c>
      <c r="G31" s="13"/>
      <c r="H31" s="35">
        <f>SUM(H26:H30)</f>
        <v>30000</v>
      </c>
      <c r="I31" s="13"/>
      <c r="J31" s="31">
        <f>IF(H$12=0,0,H31/H$12)</f>
        <v>0</v>
      </c>
      <c r="K31" s="15"/>
      <c r="L31" s="35">
        <f>+D31-H31</f>
        <v>215849.25</v>
      </c>
      <c r="M31" s="15"/>
      <c r="N31" s="31">
        <f>IF(H31=0,0,L31/H31)</f>
        <v>7.1949750000000003</v>
      </c>
      <c r="O31" s="26"/>
      <c r="P31" s="35">
        <f>SUM(P26:P30)</f>
        <v>2258609.23</v>
      </c>
      <c r="Q31" s="13"/>
      <c r="R31" s="31">
        <f>IF(P$12=0,0,P31/P$12)</f>
        <v>0</v>
      </c>
      <c r="S31" s="13"/>
      <c r="T31" s="35">
        <f>SUM(T26:T30)</f>
        <v>240000</v>
      </c>
      <c r="U31" s="13"/>
      <c r="V31" s="31">
        <f>IF(T$12=0,0,T31/T$12)</f>
        <v>0</v>
      </c>
      <c r="W31" s="15"/>
      <c r="X31" s="35">
        <f>+P31-T31</f>
        <v>2018609.23</v>
      </c>
      <c r="Y31" s="15"/>
      <c r="Z31" s="31">
        <f>IF(T31=0,0,X31/T31)</f>
        <v>8.4108717916666667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3">
        <v>44267.671257326387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4441.8100000000013</v>
      </c>
      <c r="E12" s="4"/>
      <c r="F12" s="12"/>
      <c r="G12" s="4"/>
      <c r="H12" s="4">
        <f>SUM(OSRRefH13x_0)</f>
        <v>49000</v>
      </c>
      <c r="I12" s="4"/>
      <c r="J12" s="12"/>
      <c r="K12" s="4"/>
      <c r="L12" s="4">
        <f t="shared" ref="L12:L24" si="0">+D12-H12</f>
        <v>-44558.19</v>
      </c>
      <c r="M12" s="4"/>
      <c r="N12" s="12">
        <f t="shared" ref="N12:N24" si="1">IF(H12=0,0,L12/H12)</f>
        <v>-0.9093508163265307</v>
      </c>
      <c r="O12" s="10"/>
      <c r="P12" s="4">
        <f>SUM(OSRRefP13x_0)</f>
        <v>108848.03</v>
      </c>
      <c r="Q12" s="4"/>
      <c r="R12" s="12"/>
      <c r="S12" s="4"/>
      <c r="T12" s="4">
        <f>SUM(OSRRefT13x_0)</f>
        <v>276213</v>
      </c>
      <c r="U12" s="4"/>
      <c r="V12" s="12"/>
      <c r="W12" s="4"/>
      <c r="X12" s="4">
        <f t="shared" ref="X12:X24" si="2">+P12-T12</f>
        <v>-167364.97</v>
      </c>
      <c r="Y12" s="4"/>
      <c r="Z12" s="12">
        <f t="shared" ref="Z12:Z24" si="3">IF(T12=0,0,X12/T12)</f>
        <v>-0.60592720110928888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18000</v>
      </c>
      <c r="I13" s="2"/>
      <c r="J13" s="22"/>
      <c r="K13" s="2"/>
      <c r="L13" s="2">
        <f t="shared" si="0"/>
        <v>-18000</v>
      </c>
      <c r="M13" s="2"/>
      <c r="N13" s="22">
        <f t="shared" si="1"/>
        <v>-1</v>
      </c>
      <c r="O13" s="11"/>
      <c r="P13" s="2">
        <f>-9.28</f>
        <v>-9.2799999999999994</v>
      </c>
      <c r="Q13" s="2"/>
      <c r="R13" s="22"/>
      <c r="S13" s="2"/>
      <c r="T13" s="2">
        <v>211713</v>
      </c>
      <c r="U13" s="2"/>
      <c r="V13" s="22"/>
      <c r="W13" s="2"/>
      <c r="X13" s="2">
        <f t="shared" si="2"/>
        <v>-211722.28</v>
      </c>
      <c r="Y13" s="2"/>
      <c r="Z13" s="22">
        <f t="shared" si="3"/>
        <v>-1.0000438329247614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--3560.25</f>
        <v>3560.25</v>
      </c>
      <c r="E14" s="2"/>
      <c r="F14" s="22"/>
      <c r="G14" s="2"/>
      <c r="H14" s="2"/>
      <c r="I14" s="2"/>
      <c r="J14" s="22"/>
      <c r="K14" s="2"/>
      <c r="L14" s="2">
        <f t="shared" si="0"/>
        <v>3560.25</v>
      </c>
      <c r="M14" s="2"/>
      <c r="N14" s="22">
        <f t="shared" si="1"/>
        <v>0</v>
      </c>
      <c r="O14" s="11"/>
      <c r="P14" s="2">
        <f>--92066.22</f>
        <v>92066.22</v>
      </c>
      <c r="Q14" s="2"/>
      <c r="R14" s="22"/>
      <c r="S14" s="2"/>
      <c r="T14" s="2"/>
      <c r="U14" s="2"/>
      <c r="V14" s="22"/>
      <c r="W14" s="2"/>
      <c r="X14" s="2">
        <f t="shared" si="2"/>
        <v>92066.22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--603.05</f>
        <v>603.04999999999995</v>
      </c>
      <c r="E15" s="2"/>
      <c r="F15" s="22"/>
      <c r="G15" s="2"/>
      <c r="H15" s="2"/>
      <c r="I15" s="2"/>
      <c r="J15" s="22"/>
      <c r="K15" s="2"/>
      <c r="L15" s="2">
        <f t="shared" si="0"/>
        <v>603.04999999999995</v>
      </c>
      <c r="M15" s="2"/>
      <c r="N15" s="22">
        <f t="shared" si="1"/>
        <v>0</v>
      </c>
      <c r="O15" s="11"/>
      <c r="P15" s="2">
        <f>--15148.63</f>
        <v>15148.63</v>
      </c>
      <c r="Q15" s="2"/>
      <c r="R15" s="22"/>
      <c r="S15" s="2"/>
      <c r="T15" s="2"/>
      <c r="U15" s="2"/>
      <c r="V15" s="22"/>
      <c r="W15" s="2"/>
      <c r="X15" s="2">
        <f t="shared" si="2"/>
        <v>15148.63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--3.47</f>
        <v>3.47</v>
      </c>
      <c r="E16" s="2"/>
      <c r="F16" s="22"/>
      <c r="G16" s="2"/>
      <c r="H16" s="2"/>
      <c r="I16" s="2"/>
      <c r="J16" s="22"/>
      <c r="K16" s="2"/>
      <c r="L16" s="2">
        <f t="shared" si="0"/>
        <v>3.47</v>
      </c>
      <c r="M16" s="2"/>
      <c r="N16" s="22">
        <f t="shared" si="1"/>
        <v>0</v>
      </c>
      <c r="O16" s="11"/>
      <c r="P16" s="2">
        <f>--37.78</f>
        <v>37.78</v>
      </c>
      <c r="Q16" s="2"/>
      <c r="R16" s="22"/>
      <c r="S16" s="2"/>
      <c r="T16" s="2"/>
      <c r="U16" s="2"/>
      <c r="V16" s="22"/>
      <c r="W16" s="2"/>
      <c r="X16" s="2">
        <f t="shared" si="2"/>
        <v>37.78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--139.85</f>
        <v>139.85</v>
      </c>
      <c r="E17" s="2"/>
      <c r="F17" s="22"/>
      <c r="G17" s="2"/>
      <c r="H17" s="2"/>
      <c r="I17" s="2"/>
      <c r="J17" s="22"/>
      <c r="K17" s="2"/>
      <c r="L17" s="2">
        <f t="shared" si="0"/>
        <v>139.85</v>
      </c>
      <c r="M17" s="2"/>
      <c r="N17" s="22">
        <f t="shared" si="1"/>
        <v>0</v>
      </c>
      <c r="O17" s="11"/>
      <c r="P17" s="2">
        <f>--139.85</f>
        <v>139.85</v>
      </c>
      <c r="Q17" s="2"/>
      <c r="R17" s="22"/>
      <c r="S17" s="2"/>
      <c r="T17" s="2"/>
      <c r="U17" s="2"/>
      <c r="V17" s="22"/>
      <c r="W17" s="2"/>
      <c r="X17" s="2">
        <f t="shared" si="2"/>
        <v>139.85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22"/>
      <c r="G18" s="2"/>
      <c r="H18" s="2">
        <v>31000</v>
      </c>
      <c r="I18" s="2"/>
      <c r="J18" s="22"/>
      <c r="K18" s="2"/>
      <c r="L18" s="2">
        <f t="shared" si="0"/>
        <v>-31000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64500</v>
      </c>
      <c r="U18" s="2"/>
      <c r="V18" s="22"/>
      <c r="W18" s="2"/>
      <c r="X18" s="2">
        <f t="shared" si="2"/>
        <v>-64500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--50.39</f>
        <v>50.39</v>
      </c>
      <c r="E19" s="2"/>
      <c r="F19" s="22"/>
      <c r="G19" s="2"/>
      <c r="H19" s="2"/>
      <c r="I19" s="2"/>
      <c r="J19" s="22"/>
      <c r="K19" s="2"/>
      <c r="L19" s="2">
        <f t="shared" si="0"/>
        <v>50.39</v>
      </c>
      <c r="M19" s="2"/>
      <c r="N19" s="22">
        <f t="shared" si="1"/>
        <v>0</v>
      </c>
      <c r="O19" s="11"/>
      <c r="P19" s="2">
        <f>--1278.64</f>
        <v>1278.6400000000001</v>
      </c>
      <c r="Q19" s="2"/>
      <c r="R19" s="22"/>
      <c r="S19" s="2"/>
      <c r="T19" s="2"/>
      <c r="U19" s="2"/>
      <c r="V19" s="22"/>
      <c r="W19" s="2"/>
      <c r="X19" s="2">
        <f t="shared" si="2"/>
        <v>1278.6400000000001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--1110.59</f>
        <v>1110.5899999999999</v>
      </c>
      <c r="Q20" s="2"/>
      <c r="R20" s="22"/>
      <c r="S20" s="2"/>
      <c r="T20" s="2"/>
      <c r="U20" s="2"/>
      <c r="V20" s="22"/>
      <c r="W20" s="2"/>
      <c r="X20" s="2">
        <f t="shared" si="2"/>
        <v>1110.5899999999999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--67.8</f>
        <v>67.8</v>
      </c>
      <c r="E21" s="2"/>
      <c r="F21" s="22"/>
      <c r="G21" s="2"/>
      <c r="H21" s="2"/>
      <c r="I21" s="2"/>
      <c r="J21" s="22"/>
      <c r="K21" s="2"/>
      <c r="L21" s="2">
        <f t="shared" si="0"/>
        <v>67.8</v>
      </c>
      <c r="M21" s="2"/>
      <c r="N21" s="22">
        <f t="shared" si="1"/>
        <v>0</v>
      </c>
      <c r="O21" s="11"/>
      <c r="P21" s="2">
        <f>--208.4</f>
        <v>208.4</v>
      </c>
      <c r="Q21" s="2"/>
      <c r="R21" s="22"/>
      <c r="S21" s="2"/>
      <c r="T21" s="2"/>
      <c r="U21" s="2"/>
      <c r="V21" s="22"/>
      <c r="W21" s="2"/>
      <c r="X21" s="2">
        <f t="shared" si="2"/>
        <v>208.4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"4147", " - ", "NON-TAXABLE SALES-MISC")</f>
        <v xml:space="preserve">          4147 - NON-TAXABLE SALES-MISC</v>
      </c>
      <c r="C22" s="11"/>
      <c r="D22" s="2">
        <f>--17</f>
        <v>17</v>
      </c>
      <c r="E22" s="2"/>
      <c r="F22" s="22"/>
      <c r="G22" s="2"/>
      <c r="H22" s="2"/>
      <c r="I22" s="2"/>
      <c r="J22" s="22"/>
      <c r="K22" s="2"/>
      <c r="L22" s="2">
        <f t="shared" si="0"/>
        <v>17</v>
      </c>
      <c r="M22" s="2"/>
      <c r="N22" s="22">
        <f t="shared" si="1"/>
        <v>0</v>
      </c>
      <c r="O22" s="11"/>
      <c r="P22" s="2">
        <f>--132.5</f>
        <v>132.5</v>
      </c>
      <c r="Q22" s="2"/>
      <c r="R22" s="22"/>
      <c r="S22" s="2"/>
      <c r="T22" s="2"/>
      <c r="U22" s="2"/>
      <c r="V22" s="22"/>
      <c r="W22" s="2"/>
      <c r="X22" s="2">
        <f t="shared" si="2"/>
        <v>132.5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4"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-1254.1</f>
        <v>-1254.0999999999999</v>
      </c>
      <c r="Q23" s="2"/>
      <c r="R23" s="22"/>
      <c r="S23" s="2"/>
      <c r="T23" s="2"/>
      <c r="U23" s="2"/>
      <c r="V23" s="22"/>
      <c r="W23" s="2"/>
      <c r="X23" s="2">
        <f t="shared" si="2"/>
        <v>-1254.0999999999999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4"/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-11.2</f>
        <v>-11.2</v>
      </c>
      <c r="Q24" s="2"/>
      <c r="R24" s="22"/>
      <c r="S24" s="2"/>
      <c r="T24" s="2"/>
      <c r="U24" s="2"/>
      <c r="V24" s="22"/>
      <c r="W24" s="2"/>
      <c r="X24" s="2">
        <f t="shared" si="2"/>
        <v>-11.2</v>
      </c>
      <c r="Y24" s="2"/>
      <c r="Z24" s="22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19">
        <f>D12-D26</f>
        <v>4441.8100000000013</v>
      </c>
      <c r="E28" s="13"/>
      <c r="F28" s="21">
        <f>IF(D$12=0,0,D28/D$12)</f>
        <v>1</v>
      </c>
      <c r="G28" s="13"/>
      <c r="H28" s="19">
        <f>H12-H26</f>
        <v>49000</v>
      </c>
      <c r="I28" s="13"/>
      <c r="J28" s="21">
        <f>IF(H$12=0,0,H28/H$12)</f>
        <v>1</v>
      </c>
      <c r="K28" s="15"/>
      <c r="L28" s="19">
        <f>+D28-H28</f>
        <v>-44558.19</v>
      </c>
      <c r="M28" s="15"/>
      <c r="N28" s="21">
        <f>IF(H28=0,0,L28/H28)</f>
        <v>-0.9093508163265307</v>
      </c>
      <c r="O28" s="26"/>
      <c r="P28" s="19">
        <f>P12-P26</f>
        <v>108848.03</v>
      </c>
      <c r="Q28" s="13"/>
      <c r="R28" s="21">
        <f>IF(P$12=0,0,P28/P$12)</f>
        <v>1</v>
      </c>
      <c r="S28" s="13"/>
      <c r="T28" s="19">
        <f>T12-T26</f>
        <v>276213</v>
      </c>
      <c r="U28" s="13"/>
      <c r="V28" s="21">
        <f>IF(T$12=0,0,T28/T$12)</f>
        <v>1</v>
      </c>
      <c r="W28" s="15"/>
      <c r="X28" s="19">
        <f>+P28-T28</f>
        <v>-167364.97</v>
      </c>
      <c r="Y28" s="15"/>
      <c r="Z28" s="21">
        <f>IF(T28=0,0,X28/T28)</f>
        <v>-0.60592720110928888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27592.660000000003</v>
      </c>
      <c r="E30" s="20"/>
      <c r="F30" s="33">
        <f t="shared" ref="F30:F40" si="5">IF(D$12=0,0,D30/D$12)</f>
        <v>6.2120306811862722</v>
      </c>
      <c r="G30" s="20"/>
      <c r="H30" s="20">
        <f>SUM(OSRRefH22x_0)</f>
        <v>36291.149609492342</v>
      </c>
      <c r="I30" s="20"/>
      <c r="J30" s="33">
        <f t="shared" ref="J30:J40" si="6">IF(H$12=0,0,H30/H$12)</f>
        <v>0.74063570631617026</v>
      </c>
      <c r="K30" s="4"/>
      <c r="L30" s="20">
        <f t="shared" ref="L30:L40" si="7">+D30-H30</f>
        <v>-8698.4896094923388</v>
      </c>
      <c r="M30" s="4"/>
      <c r="N30" s="33">
        <f t="shared" ref="N30:N40" si="8">IF(H30=0,0,L30/H30)</f>
        <v>-0.23968625141643776</v>
      </c>
      <c r="O30" s="10"/>
      <c r="P30" s="20">
        <f>SUM(OSRRefP22x_0)</f>
        <v>237824.40999999995</v>
      </c>
      <c r="Q30" s="20"/>
      <c r="R30" s="33">
        <f t="shared" ref="R30:R40" si="9">IF(P$12=0,0,P30/P$12)</f>
        <v>2.1849215828710906</v>
      </c>
      <c r="S30" s="20"/>
      <c r="T30" s="20">
        <f>SUM(OSRRefT22x_0)</f>
        <v>258272.97042468295</v>
      </c>
      <c r="U30" s="20"/>
      <c r="V30" s="33">
        <f t="shared" ref="V30:V40" si="10">IF(T$12=0,0,T30/T$12)</f>
        <v>0.93505001728623549</v>
      </c>
      <c r="W30" s="4"/>
      <c r="X30" s="20">
        <f t="shared" ref="X30:X40" si="11">+P30-T30</f>
        <v>-20448.560424683004</v>
      </c>
      <c r="Y30" s="4"/>
      <c r="Z30" s="33">
        <f t="shared" ref="Z30:Z40" si="12">IF(T30=0,0,X30/T30)</f>
        <v>-7.9174217848112655E-2</v>
      </c>
    </row>
    <row r="31" spans="1:26" s="28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8802.75</v>
      </c>
      <c r="E31" s="1"/>
      <c r="F31" s="5">
        <f t="shared" si="5"/>
        <v>1.9817934580722718</v>
      </c>
      <c r="G31" s="1"/>
      <c r="H31" s="1">
        <f>SUM(OSRRefH22_0x_0)</f>
        <v>6352.6410479538445</v>
      </c>
      <c r="I31" s="1"/>
      <c r="J31" s="5">
        <f t="shared" si="6"/>
        <v>0.12964573567252743</v>
      </c>
      <c r="K31" s="1"/>
      <c r="L31" s="1">
        <f t="shared" si="7"/>
        <v>2450.1089520461555</v>
      </c>
      <c r="M31" s="1"/>
      <c r="N31" s="5">
        <f t="shared" si="8"/>
        <v>0.38568351864226991</v>
      </c>
      <c r="O31" s="14"/>
      <c r="P31" s="1">
        <f>SUM(OSRRefP22_0x_0)</f>
        <v>75487.97</v>
      </c>
      <c r="Q31" s="1"/>
      <c r="R31" s="5">
        <f t="shared" si="9"/>
        <v>0.69351709902328962</v>
      </c>
      <c r="S31" s="1"/>
      <c r="T31" s="1">
        <f>SUM(OSRRefT22_0x_0)</f>
        <v>54006.770511221126</v>
      </c>
      <c r="U31" s="1"/>
      <c r="V31" s="5">
        <f t="shared" si="10"/>
        <v>0.19552580983234361</v>
      </c>
      <c r="W31" s="1"/>
      <c r="X31" s="1">
        <f t="shared" si="11"/>
        <v>21481.199488778875</v>
      </c>
      <c r="Y31" s="1"/>
      <c r="Z31" s="5">
        <f t="shared" si="12"/>
        <v>0.39775012068747329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7">
        <v>1213.6400000000001</v>
      </c>
      <c r="E32" s="2"/>
      <c r="F32" s="6">
        <f t="shared" si="5"/>
        <v>0.27323095765014704</v>
      </c>
      <c r="G32" s="2"/>
      <c r="H32" s="7">
        <v>1005.53020137692</v>
      </c>
      <c r="I32" s="2"/>
      <c r="J32" s="6">
        <f t="shared" si="6"/>
        <v>2.0521024517896325E-2</v>
      </c>
      <c r="K32" s="2"/>
      <c r="L32" s="7">
        <f t="shared" si="7"/>
        <v>208.10979862308011</v>
      </c>
      <c r="M32" s="2"/>
      <c r="N32" s="6">
        <f t="shared" si="8"/>
        <v>0.20696523917243415</v>
      </c>
      <c r="O32" s="11"/>
      <c r="P32" s="7">
        <v>10254.049999999999</v>
      </c>
      <c r="Q32" s="2"/>
      <c r="R32" s="6">
        <f t="shared" si="9"/>
        <v>9.4205195996656985E-2</v>
      </c>
      <c r="S32" s="2"/>
      <c r="T32" s="7">
        <v>9180.0635045480503</v>
      </c>
      <c r="U32" s="2"/>
      <c r="V32" s="6">
        <f t="shared" si="10"/>
        <v>3.3235450556447561E-2</v>
      </c>
      <c r="W32" s="2"/>
      <c r="X32" s="7">
        <f t="shared" si="11"/>
        <v>1073.9864954519489</v>
      </c>
      <c r="Y32" s="2"/>
      <c r="Z32" s="6">
        <f t="shared" si="12"/>
        <v>0.11699118365791993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7">
        <v>313.57</v>
      </c>
      <c r="E33" s="2"/>
      <c r="F33" s="6">
        <f t="shared" si="5"/>
        <v>7.0595095242705089E-2</v>
      </c>
      <c r="G33" s="2"/>
      <c r="H33" s="7">
        <v>273.38833942307701</v>
      </c>
      <c r="I33" s="2"/>
      <c r="J33" s="6">
        <f t="shared" si="6"/>
        <v>5.5793538657770815E-3</v>
      </c>
      <c r="K33" s="2"/>
      <c r="L33" s="7">
        <f t="shared" si="7"/>
        <v>40.18166057692298</v>
      </c>
      <c r="M33" s="2"/>
      <c r="N33" s="6">
        <f t="shared" si="8"/>
        <v>0.1469764974677307</v>
      </c>
      <c r="O33" s="11"/>
      <c r="P33" s="7">
        <v>2718.6</v>
      </c>
      <c r="Q33" s="2"/>
      <c r="R33" s="6">
        <f t="shared" si="9"/>
        <v>2.49761065955902E-2</v>
      </c>
      <c r="S33" s="2"/>
      <c r="T33" s="7">
        <v>2397.6273693269231</v>
      </c>
      <c r="U33" s="2"/>
      <c r="V33" s="6">
        <f t="shared" si="10"/>
        <v>8.6803567150239968E-3</v>
      </c>
      <c r="W33" s="2"/>
      <c r="X33" s="7">
        <f t="shared" si="11"/>
        <v>320.97263067307676</v>
      </c>
      <c r="Y33" s="2"/>
      <c r="Z33" s="6">
        <f t="shared" si="12"/>
        <v>0.13387094040521494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7">
        <v>3421.48</v>
      </c>
      <c r="E34" s="2"/>
      <c r="F34" s="6">
        <f t="shared" si="5"/>
        <v>0.77028958915397083</v>
      </c>
      <c r="G34" s="2"/>
      <c r="H34" s="7">
        <v>2645</v>
      </c>
      <c r="I34" s="2"/>
      <c r="J34" s="6">
        <f t="shared" si="6"/>
        <v>5.3979591836734696E-2</v>
      </c>
      <c r="K34" s="2"/>
      <c r="L34" s="7">
        <f t="shared" si="7"/>
        <v>776.48</v>
      </c>
      <c r="M34" s="2"/>
      <c r="N34" s="6">
        <f t="shared" si="8"/>
        <v>0.29356521739130437</v>
      </c>
      <c r="O34" s="11"/>
      <c r="P34" s="7">
        <v>29214.289999999997</v>
      </c>
      <c r="Q34" s="2"/>
      <c r="R34" s="6">
        <f t="shared" si="9"/>
        <v>0.26839521119491089</v>
      </c>
      <c r="S34" s="2"/>
      <c r="T34" s="7">
        <v>21160</v>
      </c>
      <c r="U34" s="2"/>
      <c r="V34" s="6">
        <f t="shared" si="10"/>
        <v>7.6607545626020498E-2</v>
      </c>
      <c r="W34" s="2"/>
      <c r="X34" s="7">
        <f t="shared" si="11"/>
        <v>8054.2899999999972</v>
      </c>
      <c r="Y34" s="2"/>
      <c r="Z34" s="6">
        <f t="shared" si="12"/>
        <v>0.38063752362948949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44.07</v>
      </c>
      <c r="E35" s="2"/>
      <c r="F35" s="6">
        <f t="shared" si="5"/>
        <v>9.9216310468029888E-3</v>
      </c>
      <c r="G35" s="2"/>
      <c r="H35" s="7">
        <v>43.496200999999999</v>
      </c>
      <c r="I35" s="2"/>
      <c r="J35" s="6">
        <f t="shared" si="6"/>
        <v>8.8767757142857136E-4</v>
      </c>
      <c r="K35" s="2"/>
      <c r="L35" s="7">
        <f t="shared" si="7"/>
        <v>0.57379900000000106</v>
      </c>
      <c r="M35" s="2"/>
      <c r="N35" s="6">
        <f t="shared" si="8"/>
        <v>1.3191933704738973E-2</v>
      </c>
      <c r="O35" s="11"/>
      <c r="P35" s="7">
        <v>382.06</v>
      </c>
      <c r="Q35" s="2"/>
      <c r="R35" s="6">
        <f t="shared" si="9"/>
        <v>3.5100313712613817E-3</v>
      </c>
      <c r="S35" s="2"/>
      <c r="T35" s="7">
        <v>368.23695850000001</v>
      </c>
      <c r="U35" s="2"/>
      <c r="V35" s="6">
        <f t="shared" si="10"/>
        <v>1.3331630245498945E-3</v>
      </c>
      <c r="W35" s="2"/>
      <c r="X35" s="7">
        <f t="shared" si="11"/>
        <v>13.823041499999988</v>
      </c>
      <c r="Y35" s="2"/>
      <c r="Z35" s="6">
        <f t="shared" si="12"/>
        <v>3.7538441432678704E-2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7">
        <v>1614.45</v>
      </c>
      <c r="E36" s="2"/>
      <c r="F36" s="6">
        <f t="shared" si="5"/>
        <v>0.36346669488339206</v>
      </c>
      <c r="G36" s="2"/>
      <c r="H36" s="7">
        <v>991.92684461538511</v>
      </c>
      <c r="I36" s="2"/>
      <c r="J36" s="6">
        <f t="shared" si="6"/>
        <v>2.0243404992150715E-2</v>
      </c>
      <c r="K36" s="2"/>
      <c r="L36" s="7">
        <f t="shared" si="7"/>
        <v>622.52315538461494</v>
      </c>
      <c r="M36" s="2"/>
      <c r="N36" s="6">
        <f t="shared" si="8"/>
        <v>0.62758978523864362</v>
      </c>
      <c r="O36" s="11"/>
      <c r="P36" s="7">
        <v>14100.34</v>
      </c>
      <c r="Q36" s="2"/>
      <c r="R36" s="6">
        <f t="shared" si="9"/>
        <v>0.12954152684251613</v>
      </c>
      <c r="S36" s="2"/>
      <c r="T36" s="7">
        <v>8679.3598903846141</v>
      </c>
      <c r="U36" s="2"/>
      <c r="V36" s="6">
        <f t="shared" si="10"/>
        <v>3.1422705992783156E-2</v>
      </c>
      <c r="W36" s="2"/>
      <c r="X36" s="7">
        <f t="shared" si="11"/>
        <v>5420.980109615386</v>
      </c>
      <c r="Y36" s="2"/>
      <c r="Z36" s="6">
        <f t="shared" si="12"/>
        <v>0.6245829390737665</v>
      </c>
    </row>
    <row r="37" spans="1:26" s="24" customFormat="1" hidden="1" outlineLevel="2" x14ac:dyDescent="0.25">
      <c r="A37" s="27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5"/>
        <v>0</v>
      </c>
      <c r="G37" s="2"/>
      <c r="H37" s="7">
        <v>0</v>
      </c>
      <c r="I37" s="2"/>
      <c r="J37" s="6">
        <f t="shared" si="6"/>
        <v>0</v>
      </c>
      <c r="K37" s="2"/>
      <c r="L37" s="7">
        <f t="shared" si="7"/>
        <v>0</v>
      </c>
      <c r="M37" s="2"/>
      <c r="N37" s="6">
        <f t="shared" si="8"/>
        <v>0</v>
      </c>
      <c r="O37" s="11"/>
      <c r="P37" s="7"/>
      <c r="Q37" s="2"/>
      <c r="R37" s="6">
        <f t="shared" si="9"/>
        <v>0</v>
      </c>
      <c r="S37" s="2"/>
      <c r="T37" s="7">
        <v>0</v>
      </c>
      <c r="U37" s="2"/>
      <c r="V37" s="6">
        <f t="shared" si="10"/>
        <v>0</v>
      </c>
      <c r="W37" s="2"/>
      <c r="X37" s="7">
        <f t="shared" si="11"/>
        <v>0</v>
      </c>
      <c r="Y37" s="2"/>
      <c r="Z37" s="6">
        <f t="shared" si="12"/>
        <v>0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7">
        <v>1216.0999999999999</v>
      </c>
      <c r="E38" s="2"/>
      <c r="F38" s="6">
        <f t="shared" si="5"/>
        <v>0.27378478593186101</v>
      </c>
      <c r="G38" s="2"/>
      <c r="H38" s="7">
        <v>956.61308461538511</v>
      </c>
      <c r="I38" s="2"/>
      <c r="J38" s="6">
        <f t="shared" si="6"/>
        <v>1.952271601255888E-2</v>
      </c>
      <c r="K38" s="2"/>
      <c r="L38" s="7">
        <f t="shared" si="7"/>
        <v>259.4869153846148</v>
      </c>
      <c r="M38" s="2"/>
      <c r="N38" s="6">
        <f t="shared" si="8"/>
        <v>0.27125587090306613</v>
      </c>
      <c r="O38" s="11"/>
      <c r="P38" s="7">
        <v>10099.629999999999</v>
      </c>
      <c r="Q38" s="2"/>
      <c r="R38" s="6">
        <f t="shared" si="9"/>
        <v>9.2786520803362263E-2</v>
      </c>
      <c r="S38" s="2"/>
      <c r="T38" s="7">
        <v>8370.3644903846143</v>
      </c>
      <c r="U38" s="2"/>
      <c r="V38" s="6">
        <f t="shared" si="10"/>
        <v>3.0304020775215556E-2</v>
      </c>
      <c r="W38" s="2"/>
      <c r="X38" s="7">
        <f t="shared" si="11"/>
        <v>1729.2655096153849</v>
      </c>
      <c r="Y38" s="2"/>
      <c r="Z38" s="6">
        <f t="shared" si="12"/>
        <v>0.20659381220517506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7">
        <v>738.5</v>
      </c>
      <c r="E39" s="2"/>
      <c r="F39" s="6">
        <f t="shared" si="5"/>
        <v>0.16626105123812135</v>
      </c>
      <c r="G39" s="2"/>
      <c r="H39" s="7">
        <v>436.68637692307703</v>
      </c>
      <c r="I39" s="2"/>
      <c r="J39" s="6">
        <f t="shared" si="6"/>
        <v>8.9119668759811647E-3</v>
      </c>
      <c r="K39" s="2"/>
      <c r="L39" s="7">
        <f t="shared" si="7"/>
        <v>301.81362307692297</v>
      </c>
      <c r="M39" s="2"/>
      <c r="N39" s="6">
        <f t="shared" si="8"/>
        <v>0.69114503915492631</v>
      </c>
      <c r="O39" s="11"/>
      <c r="P39" s="7">
        <v>6171.27</v>
      </c>
      <c r="Q39" s="2"/>
      <c r="R39" s="6">
        <f t="shared" si="9"/>
        <v>5.6696202953787959E-2</v>
      </c>
      <c r="S39" s="2"/>
      <c r="T39" s="7">
        <v>3851.1182980769227</v>
      </c>
      <c r="U39" s="2"/>
      <c r="V39" s="6">
        <f t="shared" si="10"/>
        <v>1.3942567142302943E-2</v>
      </c>
      <c r="W39" s="2"/>
      <c r="X39" s="7">
        <f t="shared" si="11"/>
        <v>2320.1517019230778</v>
      </c>
      <c r="Y39" s="2"/>
      <c r="Z39" s="6">
        <f t="shared" si="12"/>
        <v>0.60246181039976321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7">
        <v>240.94</v>
      </c>
      <c r="E40" s="2"/>
      <c r="F40" s="6">
        <f t="shared" si="5"/>
        <v>5.4243652925271439E-2</v>
      </c>
      <c r="G40" s="2"/>
      <c r="H40" s="7"/>
      <c r="I40" s="2"/>
      <c r="J40" s="6">
        <f t="shared" si="6"/>
        <v>0</v>
      </c>
      <c r="K40" s="2"/>
      <c r="L40" s="7">
        <f t="shared" si="7"/>
        <v>240.94</v>
      </c>
      <c r="M40" s="2"/>
      <c r="N40" s="6">
        <f t="shared" si="8"/>
        <v>0</v>
      </c>
      <c r="O40" s="11"/>
      <c r="P40" s="7">
        <v>2547.73</v>
      </c>
      <c r="Q40" s="2"/>
      <c r="R40" s="6">
        <f t="shared" si="9"/>
        <v>2.3406303265203789E-2</v>
      </c>
      <c r="S40" s="2"/>
      <c r="T40" s="7"/>
      <c r="U40" s="2"/>
      <c r="V40" s="6">
        <f t="shared" si="10"/>
        <v>0</v>
      </c>
      <c r="W40" s="2"/>
      <c r="X40" s="7">
        <f t="shared" si="11"/>
        <v>2547.73</v>
      </c>
      <c r="Y40" s="2"/>
      <c r="Z40" s="6">
        <f t="shared" si="12"/>
        <v>0</v>
      </c>
    </row>
    <row r="41" spans="1:26" s="28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15744.670000000002</v>
      </c>
      <c r="E41" s="1"/>
      <c r="F41" s="5">
        <f t="shared" ref="F41:F51" si="13">IF(D$12=0,0,D41/D$12)</f>
        <v>3.5446518423795697</v>
      </c>
      <c r="G41" s="1"/>
      <c r="H41" s="1">
        <f>SUM(OSRRefH22_1x_0)</f>
        <v>10197.5085615385</v>
      </c>
      <c r="I41" s="1"/>
      <c r="J41" s="5">
        <f t="shared" ref="J41:J51" si="14">IF(H$12=0,0,H41/H$12)</f>
        <v>0.20811241962323468</v>
      </c>
      <c r="K41" s="1"/>
      <c r="L41" s="1">
        <f t="shared" ref="L41:L51" si="15">+D41-H41</f>
        <v>5547.1614384615023</v>
      </c>
      <c r="M41" s="1"/>
      <c r="N41" s="5">
        <f t="shared" ref="N41:N51" si="16">IF(H41=0,0,L41/H41)</f>
        <v>0.54397222664597611</v>
      </c>
      <c r="O41" s="14"/>
      <c r="P41" s="1">
        <f>SUM(OSRRefP22_1x_0)</f>
        <v>123848.23999999999</v>
      </c>
      <c r="Q41" s="1"/>
      <c r="R41" s="5">
        <f t="shared" ref="R41:R51" si="17">IF(P$12=0,0,P41/P$12)</f>
        <v>1.1378087412330751</v>
      </c>
      <c r="S41" s="1"/>
      <c r="T41" s="1">
        <f>SUM(OSRRefT22_1x_0)</f>
        <v>89228.199913461809</v>
      </c>
      <c r="U41" s="1"/>
      <c r="V41" s="5">
        <f t="shared" ref="V41:V51" si="18">IF(T$12=0,0,T41/T$12)</f>
        <v>0.32304127580331776</v>
      </c>
      <c r="W41" s="1"/>
      <c r="X41" s="1">
        <f t="shared" ref="X41:X51" si="19">+P41-T41</f>
        <v>34620.040086538182</v>
      </c>
      <c r="Y41" s="1"/>
      <c r="Z41" s="5">
        <f t="shared" ref="Z41:Z51" si="20">IF(T41=0,0,X41/T41)</f>
        <v>0.38799437980497775</v>
      </c>
    </row>
    <row r="42" spans="1:26" s="24" customFormat="1" hidden="1" outlineLevel="2" x14ac:dyDescent="0.25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3"/>
        <v>0</v>
      </c>
      <c r="G42" s="2"/>
      <c r="H42" s="7">
        <v>0</v>
      </c>
      <c r="I42" s="2"/>
      <c r="J42" s="6">
        <f t="shared" si="14"/>
        <v>0</v>
      </c>
      <c r="K42" s="2"/>
      <c r="L42" s="7">
        <f t="shared" si="15"/>
        <v>0</v>
      </c>
      <c r="M42" s="2"/>
      <c r="N42" s="6">
        <f t="shared" si="16"/>
        <v>0</v>
      </c>
      <c r="O42" s="11"/>
      <c r="P42" s="7"/>
      <c r="Q42" s="2"/>
      <c r="R42" s="6">
        <f t="shared" si="17"/>
        <v>0</v>
      </c>
      <c r="S42" s="2"/>
      <c r="T42" s="7">
        <v>0</v>
      </c>
      <c r="U42" s="2"/>
      <c r="V42" s="6">
        <f t="shared" si="18"/>
        <v>0</v>
      </c>
      <c r="W42" s="2"/>
      <c r="X42" s="7">
        <f t="shared" si="19"/>
        <v>0</v>
      </c>
      <c r="Y42" s="2"/>
      <c r="Z42" s="6">
        <f t="shared" si="20"/>
        <v>0</v>
      </c>
    </row>
    <row r="43" spans="1:26" s="24" customFormat="1" hidden="1" outlineLevel="2" x14ac:dyDescent="0.25">
      <c r="A43" s="27"/>
      <c r="B43" s="11" t="str">
        <f>CONCATENATE("          ", "6002", " - ", "STAFF SALARIES")</f>
        <v xml:space="preserve">          6002 - STAFF SALARIES</v>
      </c>
      <c r="C43" s="11"/>
      <c r="D43" s="7">
        <v>15262.950000000003</v>
      </c>
      <c r="E43" s="2"/>
      <c r="F43" s="6">
        <f t="shared" si="13"/>
        <v>3.4362005578806833</v>
      </c>
      <c r="G43" s="2"/>
      <c r="H43" s="7">
        <v>10197.5085615385</v>
      </c>
      <c r="I43" s="2"/>
      <c r="J43" s="6">
        <f t="shared" si="14"/>
        <v>0.20811241962323468</v>
      </c>
      <c r="K43" s="2"/>
      <c r="L43" s="7">
        <f t="shared" si="15"/>
        <v>5065.4414384615029</v>
      </c>
      <c r="M43" s="2"/>
      <c r="N43" s="6">
        <f t="shared" si="16"/>
        <v>0.49673323713270595</v>
      </c>
      <c r="O43" s="11"/>
      <c r="P43" s="7">
        <v>118009.37999999999</v>
      </c>
      <c r="Q43" s="2"/>
      <c r="R43" s="6">
        <f t="shared" si="17"/>
        <v>1.0841664291030346</v>
      </c>
      <c r="S43" s="2"/>
      <c r="T43" s="7">
        <v>89228.199913461809</v>
      </c>
      <c r="U43" s="2"/>
      <c r="V43" s="6">
        <f t="shared" si="18"/>
        <v>0.32304127580331776</v>
      </c>
      <c r="W43" s="2"/>
      <c r="X43" s="7">
        <f t="shared" si="19"/>
        <v>28781.180086538181</v>
      </c>
      <c r="Y43" s="2"/>
      <c r="Z43" s="6">
        <f t="shared" si="20"/>
        <v>0.32255699559614204</v>
      </c>
    </row>
    <row r="44" spans="1:26" s="24" customFormat="1" hidden="1" outlineLevel="2" x14ac:dyDescent="0.25">
      <c r="A44" s="27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7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3"/>
        <v>0</v>
      </c>
      <c r="G45" s="2"/>
      <c r="H45" s="7">
        <v>0</v>
      </c>
      <c r="I45" s="2"/>
      <c r="J45" s="6">
        <f t="shared" si="14"/>
        <v>0</v>
      </c>
      <c r="K45" s="2"/>
      <c r="L45" s="7">
        <f t="shared" si="15"/>
        <v>0</v>
      </c>
      <c r="M45" s="2"/>
      <c r="N45" s="6">
        <f t="shared" si="16"/>
        <v>0</v>
      </c>
      <c r="O45" s="11"/>
      <c r="P45" s="7"/>
      <c r="Q45" s="2"/>
      <c r="R45" s="6">
        <f t="shared" si="17"/>
        <v>0</v>
      </c>
      <c r="S45" s="2"/>
      <c r="T45" s="7">
        <v>0</v>
      </c>
      <c r="U45" s="2"/>
      <c r="V45" s="6">
        <f t="shared" si="18"/>
        <v>0</v>
      </c>
      <c r="W45" s="2"/>
      <c r="X45" s="7">
        <f t="shared" si="19"/>
        <v>0</v>
      </c>
      <c r="Y45" s="2"/>
      <c r="Z45" s="6">
        <f t="shared" si="20"/>
        <v>0</v>
      </c>
    </row>
    <row r="46" spans="1:26" s="24" customFormat="1" hidden="1" outlineLevel="2" x14ac:dyDescent="0.25">
      <c r="A46" s="27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13"/>
        <v>0</v>
      </c>
      <c r="G46" s="2"/>
      <c r="H46" s="7">
        <v>0</v>
      </c>
      <c r="I46" s="2"/>
      <c r="J46" s="6">
        <f t="shared" si="14"/>
        <v>0</v>
      </c>
      <c r="K46" s="2"/>
      <c r="L46" s="7">
        <f t="shared" si="15"/>
        <v>0</v>
      </c>
      <c r="M46" s="2"/>
      <c r="N46" s="6">
        <f t="shared" si="16"/>
        <v>0</v>
      </c>
      <c r="O46" s="11"/>
      <c r="P46" s="7">
        <v>383.25</v>
      </c>
      <c r="Q46" s="2"/>
      <c r="R46" s="6">
        <f t="shared" si="17"/>
        <v>3.5209640450084398E-3</v>
      </c>
      <c r="S46" s="2"/>
      <c r="T46" s="7">
        <v>0</v>
      </c>
      <c r="U46" s="2"/>
      <c r="V46" s="6">
        <f t="shared" si="18"/>
        <v>0</v>
      </c>
      <c r="W46" s="2"/>
      <c r="X46" s="7">
        <f t="shared" si="19"/>
        <v>383.25</v>
      </c>
      <c r="Y46" s="2"/>
      <c r="Z46" s="6">
        <f t="shared" si="20"/>
        <v>0</v>
      </c>
    </row>
    <row r="47" spans="1:26" s="24" customFormat="1" hidden="1" outlineLevel="2" x14ac:dyDescent="0.25">
      <c r="A47" s="27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3"/>
        <v>0</v>
      </c>
      <c r="G47" s="2"/>
      <c r="H47" s="7">
        <v>0</v>
      </c>
      <c r="I47" s="2"/>
      <c r="J47" s="6">
        <f t="shared" si="14"/>
        <v>0</v>
      </c>
      <c r="K47" s="2"/>
      <c r="L47" s="7">
        <f t="shared" si="15"/>
        <v>0</v>
      </c>
      <c r="M47" s="2"/>
      <c r="N47" s="6">
        <f t="shared" si="16"/>
        <v>0</v>
      </c>
      <c r="O47" s="11"/>
      <c r="P47" s="7"/>
      <c r="Q47" s="2"/>
      <c r="R47" s="6">
        <f t="shared" si="17"/>
        <v>0</v>
      </c>
      <c r="S47" s="2"/>
      <c r="T47" s="7">
        <v>0</v>
      </c>
      <c r="U47" s="2"/>
      <c r="V47" s="6">
        <f t="shared" si="18"/>
        <v>0</v>
      </c>
      <c r="W47" s="2"/>
      <c r="X47" s="7">
        <f t="shared" si="19"/>
        <v>0</v>
      </c>
      <c r="Y47" s="2"/>
      <c r="Z47" s="6">
        <f t="shared" si="20"/>
        <v>0</v>
      </c>
    </row>
    <row r="48" spans="1:26" s="24" customFormat="1" hidden="1" outlineLevel="2" x14ac:dyDescent="0.25">
      <c r="A48" s="27"/>
      <c r="B48" s="11" t="str">
        <f>CONCATENATE("          ", "6007", " - ", "STUDENT HOURLY")</f>
        <v xml:space="preserve">          6007 - STUDENT HOURLY</v>
      </c>
      <c r="C48" s="11"/>
      <c r="D48" s="7">
        <v>481.72</v>
      </c>
      <c r="E48" s="2"/>
      <c r="F48" s="6">
        <f t="shared" si="13"/>
        <v>0.10845128449888669</v>
      </c>
      <c r="G48" s="2"/>
      <c r="H48" s="7">
        <v>0</v>
      </c>
      <c r="I48" s="2"/>
      <c r="J48" s="6">
        <f t="shared" si="14"/>
        <v>0</v>
      </c>
      <c r="K48" s="2"/>
      <c r="L48" s="7">
        <f t="shared" si="15"/>
        <v>481.72</v>
      </c>
      <c r="M48" s="2"/>
      <c r="N48" s="6">
        <f t="shared" si="16"/>
        <v>0</v>
      </c>
      <c r="O48" s="11"/>
      <c r="P48" s="7">
        <v>5455.61</v>
      </c>
      <c r="Q48" s="2"/>
      <c r="R48" s="6">
        <f t="shared" si="17"/>
        <v>5.0121348085031943E-2</v>
      </c>
      <c r="S48" s="2"/>
      <c r="T48" s="7">
        <v>0</v>
      </c>
      <c r="U48" s="2"/>
      <c r="V48" s="6">
        <f t="shared" si="18"/>
        <v>0</v>
      </c>
      <c r="W48" s="2"/>
      <c r="X48" s="7">
        <f t="shared" si="19"/>
        <v>5455.61</v>
      </c>
      <c r="Y48" s="2"/>
      <c r="Z48" s="6">
        <f t="shared" si="20"/>
        <v>0</v>
      </c>
    </row>
    <row r="49" spans="1:26" s="24" customFormat="1" hidden="1" outlineLevel="2" x14ac:dyDescent="0.25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3"/>
        <v>0</v>
      </c>
      <c r="G49" s="2"/>
      <c r="H49" s="7">
        <v>0</v>
      </c>
      <c r="I49" s="2"/>
      <c r="J49" s="6">
        <f t="shared" si="14"/>
        <v>0</v>
      </c>
      <c r="K49" s="2"/>
      <c r="L49" s="7">
        <f t="shared" si="15"/>
        <v>0</v>
      </c>
      <c r="M49" s="2"/>
      <c r="N49" s="6">
        <f t="shared" si="16"/>
        <v>0</v>
      </c>
      <c r="O49" s="11"/>
      <c r="P49" s="7"/>
      <c r="Q49" s="2"/>
      <c r="R49" s="6">
        <f t="shared" si="17"/>
        <v>0</v>
      </c>
      <c r="S49" s="2"/>
      <c r="T49" s="7">
        <v>0</v>
      </c>
      <c r="U49" s="2"/>
      <c r="V49" s="6">
        <f t="shared" si="18"/>
        <v>0</v>
      </c>
      <c r="W49" s="2"/>
      <c r="X49" s="7">
        <f t="shared" si="19"/>
        <v>0</v>
      </c>
      <c r="Y49" s="2"/>
      <c r="Z49" s="6">
        <f t="shared" si="20"/>
        <v>0</v>
      </c>
    </row>
    <row r="50" spans="1:26" s="24" customFormat="1" hidden="1" outlineLevel="2" x14ac:dyDescent="0.25">
      <c r="A50" s="27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3"/>
        <v>0</v>
      </c>
      <c r="G50" s="2"/>
      <c r="H50" s="7">
        <v>0</v>
      </c>
      <c r="I50" s="2"/>
      <c r="J50" s="6">
        <f t="shared" si="14"/>
        <v>0</v>
      </c>
      <c r="K50" s="2"/>
      <c r="L50" s="7">
        <f t="shared" si="15"/>
        <v>0</v>
      </c>
      <c r="M50" s="2"/>
      <c r="N50" s="6">
        <f t="shared" si="16"/>
        <v>0</v>
      </c>
      <c r="O50" s="11"/>
      <c r="P50" s="7"/>
      <c r="Q50" s="2"/>
      <c r="R50" s="6">
        <f t="shared" si="17"/>
        <v>0</v>
      </c>
      <c r="S50" s="2"/>
      <c r="T50" s="7">
        <v>0</v>
      </c>
      <c r="U50" s="2"/>
      <c r="V50" s="6">
        <f t="shared" si="18"/>
        <v>0</v>
      </c>
      <c r="W50" s="2"/>
      <c r="X50" s="7">
        <f t="shared" si="19"/>
        <v>0</v>
      </c>
      <c r="Y50" s="2"/>
      <c r="Z50" s="6">
        <f t="shared" si="20"/>
        <v>0</v>
      </c>
    </row>
    <row r="51" spans="1:26" s="24" customFormat="1" hidden="1" outlineLevel="2" x14ac:dyDescent="0.25">
      <c r="A51" s="27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3"/>
        <v>0</v>
      </c>
      <c r="G51" s="2"/>
      <c r="H51" s="7">
        <v>0</v>
      </c>
      <c r="I51" s="2"/>
      <c r="J51" s="6">
        <f t="shared" si="14"/>
        <v>0</v>
      </c>
      <c r="K51" s="2"/>
      <c r="L51" s="7">
        <f t="shared" si="15"/>
        <v>0</v>
      </c>
      <c r="M51" s="2"/>
      <c r="N51" s="6">
        <f t="shared" si="16"/>
        <v>0</v>
      </c>
      <c r="O51" s="11"/>
      <c r="P51" s="7"/>
      <c r="Q51" s="2"/>
      <c r="R51" s="6">
        <f t="shared" si="17"/>
        <v>0</v>
      </c>
      <c r="S51" s="2"/>
      <c r="T51" s="7">
        <v>0</v>
      </c>
      <c r="U51" s="2"/>
      <c r="V51" s="6">
        <f t="shared" si="18"/>
        <v>0</v>
      </c>
      <c r="W51" s="2"/>
      <c r="X51" s="7">
        <f t="shared" si="19"/>
        <v>0</v>
      </c>
      <c r="Y51" s="2"/>
      <c r="Z51" s="6">
        <f t="shared" si="20"/>
        <v>0</v>
      </c>
    </row>
    <row r="52" spans="1:26" s="28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0</v>
      </c>
      <c r="E52" s="1"/>
      <c r="F52" s="5">
        <f t="shared" ref="F52:F62" si="21">IF(D$12=0,0,D52/D$12)</f>
        <v>0</v>
      </c>
      <c r="G52" s="1"/>
      <c r="H52" s="1">
        <f>SUM(OSRRefH22_2x_0)</f>
        <v>50</v>
      </c>
      <c r="I52" s="1"/>
      <c r="J52" s="5">
        <f t="shared" ref="J52:J62" si="22">IF(H$12=0,0,H52/H$12)</f>
        <v>1.0204081632653062E-3</v>
      </c>
      <c r="K52" s="1"/>
      <c r="L52" s="1">
        <f t="shared" ref="L52:L62" si="23">+D52-H52</f>
        <v>-50</v>
      </c>
      <c r="M52" s="1"/>
      <c r="N52" s="5">
        <f t="shared" ref="N52:N62" si="24">IF(H52=0,0,L52/H52)</f>
        <v>-1</v>
      </c>
      <c r="O52" s="14"/>
      <c r="P52" s="1">
        <f>SUM(OSRRefP22_2x_0)</f>
        <v>0</v>
      </c>
      <c r="Q52" s="1"/>
      <c r="R52" s="5">
        <f t="shared" ref="R52:R62" si="25">IF(P$12=0,0,P52/P$12)</f>
        <v>0</v>
      </c>
      <c r="S52" s="1"/>
      <c r="T52" s="1">
        <f>SUM(OSRRefT22_2x_0)</f>
        <v>400</v>
      </c>
      <c r="U52" s="1"/>
      <c r="V52" s="5">
        <f t="shared" ref="V52:V62" si="26">IF(T$12=0,0,T52/T$12)</f>
        <v>1.4481577623066256E-3</v>
      </c>
      <c r="W52" s="1"/>
      <c r="X52" s="1">
        <f t="shared" ref="X52:X62" si="27">+P52-T52</f>
        <v>-400</v>
      </c>
      <c r="Y52" s="1"/>
      <c r="Z52" s="5">
        <f t="shared" ref="Z52:Z62" si="28">IF(T52=0,0,X52/T52)</f>
        <v>-1</v>
      </c>
    </row>
    <row r="53" spans="1:26" s="24" customFormat="1" hidden="1" outlineLevel="2" x14ac:dyDescent="0.25">
      <c r="A53" s="27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1"/>
        <v>0</v>
      </c>
      <c r="G53" s="2"/>
      <c r="H53" s="7">
        <v>50</v>
      </c>
      <c r="I53" s="2"/>
      <c r="J53" s="6">
        <f t="shared" si="22"/>
        <v>1.0204081632653062E-3</v>
      </c>
      <c r="K53" s="2"/>
      <c r="L53" s="7">
        <f t="shared" si="23"/>
        <v>-50</v>
      </c>
      <c r="M53" s="2"/>
      <c r="N53" s="6">
        <f t="shared" si="24"/>
        <v>-1</v>
      </c>
      <c r="O53" s="11"/>
      <c r="P53" s="7"/>
      <c r="Q53" s="2"/>
      <c r="R53" s="6">
        <f t="shared" si="25"/>
        <v>0</v>
      </c>
      <c r="S53" s="2"/>
      <c r="T53" s="7">
        <v>400</v>
      </c>
      <c r="U53" s="2"/>
      <c r="V53" s="6">
        <f t="shared" si="26"/>
        <v>1.4481577623066256E-3</v>
      </c>
      <c r="W53" s="2"/>
      <c r="X53" s="7">
        <f t="shared" si="27"/>
        <v>-400</v>
      </c>
      <c r="Y53" s="2"/>
      <c r="Z53" s="6">
        <f t="shared" si="28"/>
        <v>-1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SUM(OSRRefD22_3x_0)</f>
        <v>169.88</v>
      </c>
      <c r="E54" s="1"/>
      <c r="F54" s="5">
        <f t="shared" si="21"/>
        <v>3.8245670120964192E-2</v>
      </c>
      <c r="G54" s="1"/>
      <c r="H54" s="1">
        <f>SUM(OSRRefH22_3x_0)</f>
        <v>170</v>
      </c>
      <c r="I54" s="1"/>
      <c r="J54" s="5">
        <f t="shared" si="22"/>
        <v>3.4693877551020408E-3</v>
      </c>
      <c r="K54" s="1"/>
      <c r="L54" s="1">
        <f t="shared" si="23"/>
        <v>-0.12000000000000455</v>
      </c>
      <c r="M54" s="1"/>
      <c r="N54" s="5">
        <f t="shared" si="24"/>
        <v>-7.0588235294120319E-4</v>
      </c>
      <c r="O54" s="14"/>
      <c r="P54" s="1">
        <f>SUM(OSRRefP22_3x_0)</f>
        <v>1359.04</v>
      </c>
      <c r="Q54" s="1"/>
      <c r="R54" s="5">
        <f t="shared" si="25"/>
        <v>1.248566464638818E-2</v>
      </c>
      <c r="S54" s="1"/>
      <c r="T54" s="1">
        <f>SUM(OSRRefT22_3x_0)</f>
        <v>1360</v>
      </c>
      <c r="U54" s="1"/>
      <c r="V54" s="5">
        <f t="shared" si="26"/>
        <v>4.9237363918425269E-3</v>
      </c>
      <c r="W54" s="1"/>
      <c r="X54" s="1">
        <f t="shared" si="27"/>
        <v>-0.96000000000003638</v>
      </c>
      <c r="Y54" s="1"/>
      <c r="Z54" s="5">
        <f t="shared" si="28"/>
        <v>-7.0588235294120319E-4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169.88</v>
      </c>
      <c r="E55" s="2"/>
      <c r="F55" s="6">
        <f t="shared" si="21"/>
        <v>3.8245670120964192E-2</v>
      </c>
      <c r="G55" s="2"/>
      <c r="H55" s="7">
        <v>170</v>
      </c>
      <c r="I55" s="2"/>
      <c r="J55" s="6">
        <f t="shared" si="22"/>
        <v>3.4693877551020408E-3</v>
      </c>
      <c r="K55" s="2"/>
      <c r="L55" s="7">
        <f t="shared" si="23"/>
        <v>-0.12000000000000455</v>
      </c>
      <c r="M55" s="2"/>
      <c r="N55" s="6">
        <f t="shared" si="24"/>
        <v>-7.0588235294120319E-4</v>
      </c>
      <c r="O55" s="11"/>
      <c r="P55" s="7">
        <v>1359.04</v>
      </c>
      <c r="Q55" s="2"/>
      <c r="R55" s="6">
        <f t="shared" si="25"/>
        <v>1.248566464638818E-2</v>
      </c>
      <c r="S55" s="2"/>
      <c r="T55" s="7">
        <v>1360</v>
      </c>
      <c r="U55" s="2"/>
      <c r="V55" s="6">
        <f t="shared" si="26"/>
        <v>4.9237363918425269E-3</v>
      </c>
      <c r="W55" s="2"/>
      <c r="X55" s="7">
        <f t="shared" si="27"/>
        <v>-0.96000000000003638</v>
      </c>
      <c r="Y55" s="2"/>
      <c r="Z55" s="6">
        <f t="shared" si="28"/>
        <v>-7.0588235294120319E-4</v>
      </c>
    </row>
    <row r="56" spans="1:26" s="28" customFormat="1" outlineLevel="1" collapsed="1" x14ac:dyDescent="0.25">
      <c r="A56" s="29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SUM(OSRRefD22_4x_0)</f>
        <v>0</v>
      </c>
      <c r="E56" s="1"/>
      <c r="F56" s="5">
        <f t="shared" si="21"/>
        <v>0</v>
      </c>
      <c r="G56" s="1"/>
      <c r="H56" s="1">
        <f>SUM(OSRRefH22_4x_0)</f>
        <v>50</v>
      </c>
      <c r="I56" s="1"/>
      <c r="J56" s="5">
        <f t="shared" si="22"/>
        <v>1.0204081632653062E-3</v>
      </c>
      <c r="K56" s="1"/>
      <c r="L56" s="1">
        <f t="shared" si="23"/>
        <v>-50</v>
      </c>
      <c r="M56" s="1"/>
      <c r="N56" s="5">
        <f t="shared" si="24"/>
        <v>-1</v>
      </c>
      <c r="O56" s="14"/>
      <c r="P56" s="1">
        <f>SUM(OSRRefP22_4x_0)</f>
        <v>0</v>
      </c>
      <c r="Q56" s="1"/>
      <c r="R56" s="5">
        <f t="shared" si="25"/>
        <v>0</v>
      </c>
      <c r="S56" s="1"/>
      <c r="T56" s="1">
        <f>SUM(OSRRefT22_4x_0)</f>
        <v>400</v>
      </c>
      <c r="U56" s="1"/>
      <c r="V56" s="5">
        <f t="shared" si="26"/>
        <v>1.4481577623066256E-3</v>
      </c>
      <c r="W56" s="1"/>
      <c r="X56" s="1">
        <f t="shared" si="27"/>
        <v>-400</v>
      </c>
      <c r="Y56" s="1"/>
      <c r="Z56" s="5">
        <f t="shared" si="28"/>
        <v>-1</v>
      </c>
    </row>
    <row r="57" spans="1:26" s="24" customFormat="1" hidden="1" outlineLevel="2" x14ac:dyDescent="0.25">
      <c r="A57" s="27"/>
      <c r="B57" s="11" t="str">
        <f>CONCATENATE("          ", "6382", " - ", "DISCOUNTS/MARK DOWNS")</f>
        <v xml:space="preserve">          6382 - DISCOUNTS/MARK DOWNS</v>
      </c>
      <c r="C57" s="11"/>
      <c r="D57" s="7"/>
      <c r="E57" s="2"/>
      <c r="F57" s="6">
        <f t="shared" si="21"/>
        <v>0</v>
      </c>
      <c r="G57" s="2"/>
      <c r="H57" s="7">
        <v>50</v>
      </c>
      <c r="I57" s="2"/>
      <c r="J57" s="6">
        <f t="shared" si="22"/>
        <v>1.0204081632653062E-3</v>
      </c>
      <c r="K57" s="2"/>
      <c r="L57" s="7">
        <f t="shared" si="23"/>
        <v>-50</v>
      </c>
      <c r="M57" s="2"/>
      <c r="N57" s="6">
        <f t="shared" si="24"/>
        <v>-1</v>
      </c>
      <c r="O57" s="11"/>
      <c r="P57" s="7"/>
      <c r="Q57" s="2"/>
      <c r="R57" s="6">
        <f t="shared" si="25"/>
        <v>0</v>
      </c>
      <c r="S57" s="2"/>
      <c r="T57" s="7">
        <v>400</v>
      </c>
      <c r="U57" s="2"/>
      <c r="V57" s="6">
        <f t="shared" si="26"/>
        <v>1.4481577623066256E-3</v>
      </c>
      <c r="W57" s="2"/>
      <c r="X57" s="7">
        <f t="shared" si="27"/>
        <v>-400</v>
      </c>
      <c r="Y57" s="2"/>
      <c r="Z57" s="6">
        <f t="shared" si="28"/>
        <v>-1</v>
      </c>
    </row>
    <row r="58" spans="1:26" s="28" customFormat="1" outlineLevel="1" collapsed="1" x14ac:dyDescent="0.25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SUM(OSRRefD22_5x_0)</f>
        <v>1205.6400000000001</v>
      </c>
      <c r="E58" s="1"/>
      <c r="F58" s="5">
        <f t="shared" si="21"/>
        <v>0.27142989006733736</v>
      </c>
      <c r="G58" s="1"/>
      <c r="H58" s="1">
        <f>SUM(OSRRefH22_5x_0)</f>
        <v>1206</v>
      </c>
      <c r="I58" s="1"/>
      <c r="J58" s="5">
        <f t="shared" si="22"/>
        <v>2.4612244897959185E-2</v>
      </c>
      <c r="K58" s="1"/>
      <c r="L58" s="1">
        <f t="shared" si="23"/>
        <v>-0.35999999999989996</v>
      </c>
      <c r="M58" s="1"/>
      <c r="N58" s="5">
        <f t="shared" si="24"/>
        <v>-2.9850746268648423E-4</v>
      </c>
      <c r="O58" s="14"/>
      <c r="P58" s="1">
        <f>SUM(OSRRefP22_5x_0)</f>
        <v>9645.1200000000008</v>
      </c>
      <c r="Q58" s="1"/>
      <c r="R58" s="5">
        <f t="shared" si="25"/>
        <v>8.8610882530441762E-2</v>
      </c>
      <c r="S58" s="1"/>
      <c r="T58" s="1">
        <f>SUM(OSRRefT22_5x_0)</f>
        <v>9648</v>
      </c>
      <c r="U58" s="1"/>
      <c r="V58" s="5">
        <f t="shared" si="26"/>
        <v>3.492956522683581E-2</v>
      </c>
      <c r="W58" s="1"/>
      <c r="X58" s="1">
        <f t="shared" si="27"/>
        <v>-2.8799999999991996</v>
      </c>
      <c r="Y58" s="1"/>
      <c r="Z58" s="5">
        <f t="shared" si="28"/>
        <v>-2.9850746268648423E-4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21"/>
        <v>0.27142989006733736</v>
      </c>
      <c r="G59" s="2"/>
      <c r="H59" s="7">
        <v>1206</v>
      </c>
      <c r="I59" s="2"/>
      <c r="J59" s="6">
        <f t="shared" si="22"/>
        <v>2.4612244897959185E-2</v>
      </c>
      <c r="K59" s="2"/>
      <c r="L59" s="7">
        <f t="shared" si="23"/>
        <v>-0.35999999999989996</v>
      </c>
      <c r="M59" s="2"/>
      <c r="N59" s="6">
        <f t="shared" si="24"/>
        <v>-2.9850746268648423E-4</v>
      </c>
      <c r="O59" s="11"/>
      <c r="P59" s="7">
        <v>9645.1200000000008</v>
      </c>
      <c r="Q59" s="2"/>
      <c r="R59" s="6">
        <f t="shared" si="25"/>
        <v>8.8610882530441762E-2</v>
      </c>
      <c r="S59" s="2"/>
      <c r="T59" s="7">
        <v>9648</v>
      </c>
      <c r="U59" s="2"/>
      <c r="V59" s="6">
        <f t="shared" si="26"/>
        <v>3.492956522683581E-2</v>
      </c>
      <c r="W59" s="2"/>
      <c r="X59" s="7">
        <f t="shared" si="27"/>
        <v>-2.8799999999991996</v>
      </c>
      <c r="Y59" s="2"/>
      <c r="Z59" s="6">
        <f t="shared" si="28"/>
        <v>-2.9850746268648423E-4</v>
      </c>
    </row>
    <row r="60" spans="1:26" s="28" customFormat="1" outlineLevel="1" collapsed="1" x14ac:dyDescent="0.25">
      <c r="A60" s="29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SUM(OSRRefD22_6x_0)</f>
        <v>2803.1500000000015</v>
      </c>
      <c r="E60" s="1"/>
      <c r="F60" s="5">
        <f t="shared" si="21"/>
        <v>0.6310828243441301</v>
      </c>
      <c r="G60" s="1"/>
      <c r="H60" s="1">
        <f>SUM(OSRRefH22_6x_0)</f>
        <v>3000</v>
      </c>
      <c r="I60" s="1"/>
      <c r="J60" s="5">
        <f t="shared" si="22"/>
        <v>6.1224489795918366E-2</v>
      </c>
      <c r="K60" s="1"/>
      <c r="L60" s="1">
        <f t="shared" si="23"/>
        <v>-196.84999999999854</v>
      </c>
      <c r="M60" s="1"/>
      <c r="N60" s="5">
        <f t="shared" si="24"/>
        <v>-6.5616666666666185E-2</v>
      </c>
      <c r="O60" s="14"/>
      <c r="P60" s="1">
        <f>SUM(OSRRefP22_6x_0)</f>
        <v>-45422.41</v>
      </c>
      <c r="Q60" s="1"/>
      <c r="R60" s="5">
        <f t="shared" si="25"/>
        <v>-0.41730116750849788</v>
      </c>
      <c r="S60" s="1"/>
      <c r="T60" s="1">
        <f>SUM(OSRRefT22_6x_0)</f>
        <v>28510</v>
      </c>
      <c r="U60" s="1"/>
      <c r="V60" s="5">
        <f t="shared" si="26"/>
        <v>0.10321744450840474</v>
      </c>
      <c r="W60" s="1"/>
      <c r="X60" s="1">
        <f t="shared" si="27"/>
        <v>-73932.41</v>
      </c>
      <c r="Y60" s="1"/>
      <c r="Z60" s="5">
        <f t="shared" si="28"/>
        <v>-2.593209750964574</v>
      </c>
    </row>
    <row r="61" spans="1:26" s="24" customFormat="1" hidden="1" outlineLevel="2" x14ac:dyDescent="0.25">
      <c r="A61" s="27"/>
      <c r="B61" s="11" t="str">
        <f>CONCATENATE("          ", "6305", " - ", "FREIGHT OUT")</f>
        <v xml:space="preserve">          6305 - FREIGHT OUT</v>
      </c>
      <c r="C61" s="11"/>
      <c r="D61" s="7">
        <v>24817.48</v>
      </c>
      <c r="E61" s="2"/>
      <c r="F61" s="6">
        <f t="shared" si="21"/>
        <v>5.5872448393785401</v>
      </c>
      <c r="G61" s="2"/>
      <c r="H61" s="7">
        <v>8700</v>
      </c>
      <c r="I61" s="2"/>
      <c r="J61" s="6">
        <f t="shared" si="22"/>
        <v>0.17755102040816326</v>
      </c>
      <c r="K61" s="2"/>
      <c r="L61" s="7">
        <f t="shared" si="23"/>
        <v>16117.48</v>
      </c>
      <c r="M61" s="2"/>
      <c r="N61" s="6">
        <f t="shared" si="24"/>
        <v>1.8525839080459769</v>
      </c>
      <c r="O61" s="11"/>
      <c r="P61" s="7">
        <v>150896.71</v>
      </c>
      <c r="Q61" s="2"/>
      <c r="R61" s="6">
        <f t="shared" si="25"/>
        <v>1.3863063024659241</v>
      </c>
      <c r="S61" s="2"/>
      <c r="T61" s="7">
        <v>30960</v>
      </c>
      <c r="U61" s="2"/>
      <c r="V61" s="6">
        <f t="shared" si="26"/>
        <v>0.11208741080253283</v>
      </c>
      <c r="W61" s="2"/>
      <c r="X61" s="7">
        <f t="shared" si="27"/>
        <v>119936.70999999999</v>
      </c>
      <c r="Y61" s="2"/>
      <c r="Z61" s="6">
        <f t="shared" si="28"/>
        <v>3.873924741602067</v>
      </c>
    </row>
    <row r="62" spans="1:26" s="24" customFormat="1" hidden="1" outlineLevel="2" x14ac:dyDescent="0.25">
      <c r="A62" s="27"/>
      <c r="B62" s="11" t="str">
        <f>CONCATENATE("          ", "6307", " - ", "POSTAGE")</f>
        <v xml:space="preserve">          6307 - POSTAGE</v>
      </c>
      <c r="C62" s="11"/>
      <c r="D62" s="7">
        <v>-22014.329999999998</v>
      </c>
      <c r="E62" s="2"/>
      <c r="F62" s="6">
        <f t="shared" si="21"/>
        <v>-4.9561620150344101</v>
      </c>
      <c r="G62" s="2"/>
      <c r="H62" s="7">
        <v>-5700</v>
      </c>
      <c r="I62" s="2"/>
      <c r="J62" s="6">
        <f t="shared" si="22"/>
        <v>-0.11632653061224489</v>
      </c>
      <c r="K62" s="2"/>
      <c r="L62" s="7">
        <f t="shared" si="23"/>
        <v>-16314.329999999998</v>
      </c>
      <c r="M62" s="2"/>
      <c r="N62" s="6">
        <f t="shared" si="24"/>
        <v>2.8621631578947366</v>
      </c>
      <c r="O62" s="11"/>
      <c r="P62" s="7">
        <v>-196319.12</v>
      </c>
      <c r="Q62" s="2"/>
      <c r="R62" s="6">
        <f t="shared" si="25"/>
        <v>-1.803607469974422</v>
      </c>
      <c r="S62" s="2"/>
      <c r="T62" s="7">
        <v>-2450</v>
      </c>
      <c r="U62" s="2"/>
      <c r="V62" s="6">
        <f t="shared" si="26"/>
        <v>-8.869966294128083E-3</v>
      </c>
      <c r="W62" s="2"/>
      <c r="X62" s="7">
        <f t="shared" si="27"/>
        <v>-193869.12</v>
      </c>
      <c r="Y62" s="2"/>
      <c r="Z62" s="6">
        <f t="shared" si="28"/>
        <v>79.130253061224494</v>
      </c>
    </row>
    <row r="63" spans="1:26" s="28" customFormat="1" outlineLevel="1" collapsed="1" x14ac:dyDescent="0.25">
      <c r="A63" s="29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SUM(OSRRefD22_7x_0)</f>
        <v>472.97</v>
      </c>
      <c r="E63" s="1"/>
      <c r="F63" s="5">
        <f t="shared" ref="F63:F65" si="29">IF(D$12=0,0,D63/D$12)</f>
        <v>0.10648136683018856</v>
      </c>
      <c r="G63" s="1"/>
      <c r="H63" s="1">
        <f>SUM(OSRRefH22_7x_0)</f>
        <v>5000</v>
      </c>
      <c r="I63" s="1"/>
      <c r="J63" s="5">
        <f t="shared" ref="J63:J65" si="30">IF(H$12=0,0,H63/H$12)</f>
        <v>0.10204081632653061</v>
      </c>
      <c r="K63" s="1"/>
      <c r="L63" s="1">
        <f t="shared" ref="L63:L65" si="31">+D63-H63</f>
        <v>-4527.03</v>
      </c>
      <c r="M63" s="1"/>
      <c r="N63" s="5">
        <f t="shared" ref="N63:N65" si="32">IF(H63=0,0,L63/H63)</f>
        <v>-0.90540599999999993</v>
      </c>
      <c r="O63" s="14"/>
      <c r="P63" s="1">
        <f>SUM(OSRRefP22_7x_0)</f>
        <v>30905.56</v>
      </c>
      <c r="Q63" s="1"/>
      <c r="R63" s="5">
        <f t="shared" ref="R63:R65" si="33">IF(P$12=0,0,P63/P$12)</f>
        <v>0.28393311298330343</v>
      </c>
      <c r="S63" s="1"/>
      <c r="T63" s="1">
        <f>SUM(OSRRefT22_7x_0)</f>
        <v>40400</v>
      </c>
      <c r="U63" s="1"/>
      <c r="V63" s="5">
        <f t="shared" ref="V63:V65" si="34">IF(T$12=0,0,T63/T$12)</f>
        <v>0.14626393399296919</v>
      </c>
      <c r="W63" s="1"/>
      <c r="X63" s="1">
        <f t="shared" ref="X63:X65" si="35">+P63-T63</f>
        <v>-9494.4399999999987</v>
      </c>
      <c r="Y63" s="1"/>
      <c r="Z63" s="5">
        <f t="shared" ref="Z63:Z65" si="36">IF(T63=0,0,X63/T63)</f>
        <v>-0.23501089108910889</v>
      </c>
    </row>
    <row r="64" spans="1:26" s="24" customFormat="1" hidden="1" outlineLevel="2" x14ac:dyDescent="0.25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29"/>
        <v>0</v>
      </c>
      <c r="G64" s="2"/>
      <c r="H64" s="7"/>
      <c r="I64" s="2"/>
      <c r="J64" s="6">
        <f t="shared" si="30"/>
        <v>0</v>
      </c>
      <c r="K64" s="2"/>
      <c r="L64" s="7">
        <f t="shared" si="31"/>
        <v>0</v>
      </c>
      <c r="M64" s="2"/>
      <c r="N64" s="6">
        <f t="shared" si="32"/>
        <v>0</v>
      </c>
      <c r="O64" s="11"/>
      <c r="P64" s="7">
        <v>7.69</v>
      </c>
      <c r="Q64" s="2"/>
      <c r="R64" s="6">
        <f t="shared" si="33"/>
        <v>7.0648958920064981E-5</v>
      </c>
      <c r="S64" s="2"/>
      <c r="T64" s="7"/>
      <c r="U64" s="2"/>
      <c r="V64" s="6">
        <f t="shared" si="34"/>
        <v>0</v>
      </c>
      <c r="W64" s="2"/>
      <c r="X64" s="7">
        <f t="shared" si="35"/>
        <v>7.69</v>
      </c>
      <c r="Y64" s="2"/>
      <c r="Z64" s="6">
        <f t="shared" si="36"/>
        <v>0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7">
        <v>472.97</v>
      </c>
      <c r="E65" s="2"/>
      <c r="F65" s="6">
        <f t="shared" si="29"/>
        <v>0.10648136683018856</v>
      </c>
      <c r="G65" s="2"/>
      <c r="H65" s="7">
        <v>5000</v>
      </c>
      <c r="I65" s="2"/>
      <c r="J65" s="6">
        <f t="shared" si="30"/>
        <v>0.10204081632653061</v>
      </c>
      <c r="K65" s="2"/>
      <c r="L65" s="7">
        <f t="shared" si="31"/>
        <v>-4527.03</v>
      </c>
      <c r="M65" s="2"/>
      <c r="N65" s="6">
        <f t="shared" si="32"/>
        <v>-0.90540599999999993</v>
      </c>
      <c r="O65" s="11"/>
      <c r="P65" s="7">
        <v>30897.870000000003</v>
      </c>
      <c r="Q65" s="2"/>
      <c r="R65" s="6">
        <f t="shared" si="33"/>
        <v>0.28386246402438337</v>
      </c>
      <c r="S65" s="2"/>
      <c r="T65" s="7">
        <v>40400</v>
      </c>
      <c r="U65" s="2"/>
      <c r="V65" s="6">
        <f t="shared" si="34"/>
        <v>0.14626393399296919</v>
      </c>
      <c r="W65" s="2"/>
      <c r="X65" s="7">
        <f t="shared" si="35"/>
        <v>-9502.1299999999974</v>
      </c>
      <c r="Y65" s="2"/>
      <c r="Z65" s="6">
        <f t="shared" si="36"/>
        <v>-0.2352012376237623</v>
      </c>
    </row>
    <row r="66" spans="1:26" s="28" customFormat="1" outlineLevel="1" collapsed="1" x14ac:dyDescent="0.25">
      <c r="A66" s="29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1">
        <f>SUM(OSRRefD22_8x_0)</f>
        <v>468.34</v>
      </c>
      <c r="E66" s="1"/>
      <c r="F66" s="5">
        <f t="shared" ref="F66:F73" si="37">IF(D$12=0,0,D66/D$12)</f>
        <v>0.10543899896663744</v>
      </c>
      <c r="G66" s="1"/>
      <c r="H66" s="1">
        <f>SUM(OSRRefH22_8x_0)</f>
        <v>9300</v>
      </c>
      <c r="I66" s="1"/>
      <c r="J66" s="5">
        <f t="shared" ref="J66:J73" si="38">IF(H$12=0,0,H66/H$12)</f>
        <v>0.18979591836734694</v>
      </c>
      <c r="K66" s="1"/>
      <c r="L66" s="1">
        <f t="shared" ref="L66:L73" si="39">+D66-H66</f>
        <v>-8831.66</v>
      </c>
      <c r="M66" s="1"/>
      <c r="N66" s="5">
        <f t="shared" ref="N66:N73" si="40">IF(H66=0,0,L66/H66)</f>
        <v>-0.94964086021505378</v>
      </c>
      <c r="O66" s="14"/>
      <c r="P66" s="1">
        <f>SUM(OSRRefP22_8x_0)</f>
        <v>10636.41</v>
      </c>
      <c r="Q66" s="1"/>
      <c r="R66" s="5">
        <f t="shared" ref="R66:R73" si="41">IF(P$12=0,0,P66/P$12)</f>
        <v>9.7717983504157127E-2</v>
      </c>
      <c r="S66" s="1"/>
      <c r="T66" s="1">
        <f>SUM(OSRRefT22_8x_0)</f>
        <v>19350</v>
      </c>
      <c r="U66" s="1"/>
      <c r="V66" s="5">
        <f t="shared" ref="V66:V73" si="42">IF(T$12=0,0,T66/T$12)</f>
        <v>7.0054631751583024E-2</v>
      </c>
      <c r="W66" s="1"/>
      <c r="X66" s="1">
        <f t="shared" ref="X66:X73" si="43">+P66-T66</f>
        <v>-8713.59</v>
      </c>
      <c r="Y66" s="1"/>
      <c r="Z66" s="5">
        <f t="shared" ref="Z66:Z73" si="44">IF(T66=0,0,X66/T66)</f>
        <v>-0.45031472868217054</v>
      </c>
    </row>
    <row r="67" spans="1:26" s="24" customFormat="1" hidden="1" outlineLevel="2" x14ac:dyDescent="0.25">
      <c r="A67" s="27"/>
      <c r="B67" s="11" t="str">
        <f>CONCATENATE("          ", "6259", " - ", "ROYALTY &amp; COMMISSIONS")</f>
        <v xml:space="preserve">          6259 - ROYALTY &amp; COMMISSIONS</v>
      </c>
      <c r="C67" s="11"/>
      <c r="D67" s="7">
        <v>468.34</v>
      </c>
      <c r="E67" s="2"/>
      <c r="F67" s="6">
        <f t="shared" si="37"/>
        <v>0.10543899896663744</v>
      </c>
      <c r="G67" s="2"/>
      <c r="H67" s="7">
        <v>9300</v>
      </c>
      <c r="I67" s="2"/>
      <c r="J67" s="6">
        <f t="shared" si="38"/>
        <v>0.18979591836734694</v>
      </c>
      <c r="K67" s="2"/>
      <c r="L67" s="7">
        <f t="shared" si="39"/>
        <v>-8831.66</v>
      </c>
      <c r="M67" s="2"/>
      <c r="N67" s="6">
        <f t="shared" si="40"/>
        <v>-0.94964086021505378</v>
      </c>
      <c r="O67" s="11"/>
      <c r="P67" s="7">
        <v>10636.41</v>
      </c>
      <c r="Q67" s="2"/>
      <c r="R67" s="6">
        <f t="shared" si="41"/>
        <v>9.7717983504157127E-2</v>
      </c>
      <c r="S67" s="2"/>
      <c r="T67" s="7">
        <v>19350</v>
      </c>
      <c r="U67" s="2"/>
      <c r="V67" s="6">
        <f t="shared" si="42"/>
        <v>7.0054631751583024E-2</v>
      </c>
      <c r="W67" s="2"/>
      <c r="X67" s="7">
        <f t="shared" si="43"/>
        <v>-8713.59</v>
      </c>
      <c r="Y67" s="2"/>
      <c r="Z67" s="6">
        <f t="shared" si="44"/>
        <v>-0.45031472868217054</v>
      </c>
    </row>
    <row r="68" spans="1:26" s="28" customFormat="1" outlineLevel="1" collapsed="1" x14ac:dyDescent="0.25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SUM(OSRRefD22_9x_0)</f>
        <v>-2156.8399999999997</v>
      </c>
      <c r="E68" s="1"/>
      <c r="F68" s="5">
        <f t="shared" si="37"/>
        <v>-0.48557682566341176</v>
      </c>
      <c r="G68" s="1"/>
      <c r="H68" s="1">
        <f>SUM(OSRRefH22_9x_0)</f>
        <v>800</v>
      </c>
      <c r="I68" s="1"/>
      <c r="J68" s="5">
        <f t="shared" si="38"/>
        <v>1.6326530612244899E-2</v>
      </c>
      <c r="K68" s="1"/>
      <c r="L68" s="1">
        <f t="shared" si="39"/>
        <v>-2956.8399999999997</v>
      </c>
      <c r="M68" s="1"/>
      <c r="N68" s="5">
        <f t="shared" si="40"/>
        <v>-3.6960499999999996</v>
      </c>
      <c r="O68" s="14"/>
      <c r="P68" s="1">
        <f>SUM(OSRRefP22_9x_0)</f>
        <v>29928.16</v>
      </c>
      <c r="Q68" s="1"/>
      <c r="R68" s="5">
        <f t="shared" si="41"/>
        <v>0.27495362111744237</v>
      </c>
      <c r="S68" s="1"/>
      <c r="T68" s="1">
        <f>SUM(OSRRefT22_9x_0)</f>
        <v>13650</v>
      </c>
      <c r="U68" s="1"/>
      <c r="V68" s="5">
        <f t="shared" si="42"/>
        <v>4.9418383638713599E-2</v>
      </c>
      <c r="W68" s="1"/>
      <c r="X68" s="1">
        <f t="shared" si="43"/>
        <v>16278.16</v>
      </c>
      <c r="Y68" s="1"/>
      <c r="Z68" s="5">
        <f t="shared" si="44"/>
        <v>1.1925391941391941</v>
      </c>
    </row>
    <row r="69" spans="1:26" s="24" customFormat="1" hidden="1" outlineLevel="2" x14ac:dyDescent="0.25">
      <c r="A69" s="27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310.91000000000003</v>
      </c>
      <c r="Q69" s="2"/>
      <c r="R69" s="6">
        <f t="shared" si="41"/>
        <v>2.8563677266368534E-3</v>
      </c>
      <c r="S69" s="2"/>
      <c r="T69" s="7"/>
      <c r="U69" s="2"/>
      <c r="V69" s="6">
        <f t="shared" si="42"/>
        <v>0</v>
      </c>
      <c r="W69" s="2"/>
      <c r="X69" s="7">
        <f t="shared" si="43"/>
        <v>310.91000000000003</v>
      </c>
      <c r="Y69" s="2"/>
      <c r="Z69" s="6">
        <f t="shared" si="44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>
        <v>7.71</v>
      </c>
      <c r="E70" s="2"/>
      <c r="F70" s="6">
        <f t="shared" si="37"/>
        <v>1.735778882932858E-3</v>
      </c>
      <c r="G70" s="2"/>
      <c r="H70" s="7"/>
      <c r="I70" s="2"/>
      <c r="J70" s="6">
        <f t="shared" si="38"/>
        <v>0</v>
      </c>
      <c r="K70" s="2"/>
      <c r="L70" s="7">
        <f t="shared" si="39"/>
        <v>7.71</v>
      </c>
      <c r="M70" s="2"/>
      <c r="N70" s="6">
        <f t="shared" si="40"/>
        <v>0</v>
      </c>
      <c r="O70" s="11"/>
      <c r="P70" s="7">
        <v>4604.57</v>
      </c>
      <c r="Q70" s="2"/>
      <c r="R70" s="6">
        <f t="shared" si="41"/>
        <v>4.2302740802934141E-2</v>
      </c>
      <c r="S70" s="2"/>
      <c r="T70" s="7"/>
      <c r="U70" s="2"/>
      <c r="V70" s="6">
        <f t="shared" si="42"/>
        <v>0</v>
      </c>
      <c r="W70" s="2"/>
      <c r="X70" s="7">
        <f t="shared" si="43"/>
        <v>4604.57</v>
      </c>
      <c r="Y70" s="2"/>
      <c r="Z70" s="6">
        <f t="shared" si="44"/>
        <v>0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37"/>
        <v>0</v>
      </c>
      <c r="G71" s="2"/>
      <c r="H71" s="7">
        <v>500</v>
      </c>
      <c r="I71" s="2"/>
      <c r="J71" s="6">
        <f t="shared" si="38"/>
        <v>1.020408163265306E-2</v>
      </c>
      <c r="K71" s="2"/>
      <c r="L71" s="7">
        <f t="shared" si="39"/>
        <v>-500</v>
      </c>
      <c r="M71" s="2"/>
      <c r="N71" s="6">
        <f t="shared" si="40"/>
        <v>-1</v>
      </c>
      <c r="O71" s="11"/>
      <c r="P71" s="7">
        <v>6173.4</v>
      </c>
      <c r="Q71" s="2"/>
      <c r="R71" s="6">
        <f t="shared" si="41"/>
        <v>5.6715771521083105E-2</v>
      </c>
      <c r="S71" s="2"/>
      <c r="T71" s="7">
        <v>11200</v>
      </c>
      <c r="U71" s="2"/>
      <c r="V71" s="6">
        <f t="shared" si="42"/>
        <v>4.0548417344585516E-2</v>
      </c>
      <c r="W71" s="2"/>
      <c r="X71" s="7">
        <f t="shared" si="43"/>
        <v>-5026.6000000000004</v>
      </c>
      <c r="Y71" s="2"/>
      <c r="Z71" s="6">
        <f t="shared" si="44"/>
        <v>-0.44880357142857147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7">
        <v>398.67</v>
      </c>
      <c r="E72" s="2"/>
      <c r="F72" s="6">
        <f t="shared" si="37"/>
        <v>8.9753951654843386E-2</v>
      </c>
      <c r="G72" s="2"/>
      <c r="H72" s="7">
        <v>200</v>
      </c>
      <c r="I72" s="2"/>
      <c r="J72" s="6">
        <f t="shared" si="38"/>
        <v>4.0816326530612249E-3</v>
      </c>
      <c r="K72" s="2"/>
      <c r="L72" s="7">
        <f t="shared" si="39"/>
        <v>198.67000000000002</v>
      </c>
      <c r="M72" s="2"/>
      <c r="N72" s="6">
        <f t="shared" si="40"/>
        <v>0.99335000000000007</v>
      </c>
      <c r="O72" s="11"/>
      <c r="P72" s="7">
        <v>838.28</v>
      </c>
      <c r="Q72" s="2"/>
      <c r="R72" s="6">
        <f t="shared" si="41"/>
        <v>7.7013796207427918E-3</v>
      </c>
      <c r="S72" s="2"/>
      <c r="T72" s="7">
        <v>1700</v>
      </c>
      <c r="U72" s="2"/>
      <c r="V72" s="6">
        <f t="shared" si="42"/>
        <v>6.1546704898031591E-3</v>
      </c>
      <c r="W72" s="2"/>
      <c r="X72" s="7">
        <f t="shared" si="43"/>
        <v>-861.72</v>
      </c>
      <c r="Y72" s="2"/>
      <c r="Z72" s="6">
        <f t="shared" si="44"/>
        <v>-0.50689411764705883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7">
        <v>-2563.2199999999998</v>
      </c>
      <c r="E73" s="2"/>
      <c r="F73" s="6">
        <f t="shared" si="37"/>
        <v>-0.57706655620118807</v>
      </c>
      <c r="G73" s="2"/>
      <c r="H73" s="7">
        <v>100</v>
      </c>
      <c r="I73" s="2"/>
      <c r="J73" s="6">
        <f t="shared" si="38"/>
        <v>2.0408163265306124E-3</v>
      </c>
      <c r="K73" s="2"/>
      <c r="L73" s="7">
        <f t="shared" si="39"/>
        <v>-2663.22</v>
      </c>
      <c r="M73" s="2"/>
      <c r="N73" s="6">
        <f t="shared" si="40"/>
        <v>-26.632199999999997</v>
      </c>
      <c r="O73" s="11"/>
      <c r="P73" s="7">
        <v>18001</v>
      </c>
      <c r="Q73" s="2"/>
      <c r="R73" s="6">
        <f t="shared" si="41"/>
        <v>0.16537736144604548</v>
      </c>
      <c r="S73" s="2"/>
      <c r="T73" s="7">
        <v>750</v>
      </c>
      <c r="U73" s="2"/>
      <c r="V73" s="6">
        <f t="shared" si="42"/>
        <v>2.715295804324923E-3</v>
      </c>
      <c r="W73" s="2"/>
      <c r="X73" s="7">
        <f t="shared" si="43"/>
        <v>17251</v>
      </c>
      <c r="Y73" s="2"/>
      <c r="Z73" s="6">
        <f t="shared" si="44"/>
        <v>23.001333333333335</v>
      </c>
    </row>
    <row r="74" spans="1:26" s="28" customFormat="1" outlineLevel="1" collapsed="1" x14ac:dyDescent="0.25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SUM(OSRRefD22_10x_0)</f>
        <v>82.1</v>
      </c>
      <c r="E74" s="1"/>
      <c r="F74" s="5">
        <f t="shared" ref="F74:F77" si="45">IF(D$12=0,0,D74/D$12)</f>
        <v>1.8483456068584647E-2</v>
      </c>
      <c r="G74" s="1"/>
      <c r="H74" s="1">
        <f>SUM(OSRRefH22_10x_0)</f>
        <v>165</v>
      </c>
      <c r="I74" s="1"/>
      <c r="J74" s="5">
        <f t="shared" ref="J74:J77" si="46">IF(H$12=0,0,H74/H$12)</f>
        <v>3.3673469387755102E-3</v>
      </c>
      <c r="K74" s="1"/>
      <c r="L74" s="1">
        <f t="shared" ref="L74:L77" si="47">+D74-H74</f>
        <v>-82.9</v>
      </c>
      <c r="M74" s="1"/>
      <c r="N74" s="5">
        <f t="shared" ref="N74:N77" si="48">IF(H74=0,0,L74/H74)</f>
        <v>-0.50242424242424244</v>
      </c>
      <c r="O74" s="14"/>
      <c r="P74" s="1">
        <f>SUM(OSRRefP22_10x_0)</f>
        <v>1421.3</v>
      </c>
      <c r="Q74" s="1"/>
      <c r="R74" s="5">
        <f t="shared" ref="R74:R77" si="49">IF(P$12=0,0,P74/P$12)</f>
        <v>1.3057654787137626E-2</v>
      </c>
      <c r="S74" s="1"/>
      <c r="T74" s="1">
        <f>SUM(OSRRefT22_10x_0)</f>
        <v>1320</v>
      </c>
      <c r="U74" s="1"/>
      <c r="V74" s="5">
        <f t="shared" ref="V74:V77" si="50">IF(T$12=0,0,T74/T$12)</f>
        <v>4.7789206156118652E-3</v>
      </c>
      <c r="W74" s="1"/>
      <c r="X74" s="1">
        <f t="shared" ref="X74:X77" si="51">+P74-T74</f>
        <v>101.29999999999995</v>
      </c>
      <c r="Y74" s="1"/>
      <c r="Z74" s="5">
        <f t="shared" ref="Z74:Z77" si="52">IF(T74=0,0,X74/T74)</f>
        <v>7.6742424242424209E-2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7">
        <v>82.1</v>
      </c>
      <c r="E75" s="2"/>
      <c r="F75" s="6">
        <f t="shared" si="45"/>
        <v>1.8483456068584647E-2</v>
      </c>
      <c r="G75" s="2"/>
      <c r="H75" s="7">
        <v>165</v>
      </c>
      <c r="I75" s="2"/>
      <c r="J75" s="6">
        <f t="shared" si="46"/>
        <v>3.3673469387755102E-3</v>
      </c>
      <c r="K75" s="2"/>
      <c r="L75" s="7">
        <f t="shared" si="47"/>
        <v>-82.9</v>
      </c>
      <c r="M75" s="2"/>
      <c r="N75" s="6">
        <f t="shared" si="48"/>
        <v>-0.50242424242424244</v>
      </c>
      <c r="O75" s="11"/>
      <c r="P75" s="7">
        <v>1421.3</v>
      </c>
      <c r="Q75" s="2"/>
      <c r="R75" s="6">
        <f t="shared" si="49"/>
        <v>1.3057654787137626E-2</v>
      </c>
      <c r="S75" s="2"/>
      <c r="T75" s="7">
        <v>1320</v>
      </c>
      <c r="U75" s="2"/>
      <c r="V75" s="6">
        <f t="shared" si="50"/>
        <v>4.7789206156118652E-3</v>
      </c>
      <c r="W75" s="2"/>
      <c r="X75" s="7">
        <f t="shared" si="51"/>
        <v>101.29999999999995</v>
      </c>
      <c r="Y75" s="2"/>
      <c r="Z75" s="6">
        <f t="shared" si="52"/>
        <v>7.6742424242424209E-2</v>
      </c>
    </row>
    <row r="76" spans="1:26" s="28" customFormat="1" outlineLevel="1" collapsed="1" x14ac:dyDescent="0.25">
      <c r="A76" s="29"/>
      <c r="B76" s="14" t="str">
        <f>CONCATENATE("     ","Utilities                                         ")</f>
        <v xml:space="preserve">     Utilities                                         </v>
      </c>
      <c r="C76" s="14"/>
      <c r="D76" s="1">
        <f>SUM(OSRRefD22_11x_0)</f>
        <v>0</v>
      </c>
      <c r="E76" s="1"/>
      <c r="F76" s="5">
        <f t="shared" si="45"/>
        <v>0</v>
      </c>
      <c r="G76" s="1"/>
      <c r="H76" s="1">
        <f>SUM(OSRRefH22_11x_0)</f>
        <v>0</v>
      </c>
      <c r="I76" s="1"/>
      <c r="J76" s="5">
        <f t="shared" si="46"/>
        <v>0</v>
      </c>
      <c r="K76" s="1"/>
      <c r="L76" s="1">
        <f t="shared" si="47"/>
        <v>0</v>
      </c>
      <c r="M76" s="1"/>
      <c r="N76" s="5">
        <f t="shared" si="48"/>
        <v>0</v>
      </c>
      <c r="O76" s="14"/>
      <c r="P76" s="1">
        <f>SUM(OSRRefP22_11x_0)</f>
        <v>15.02</v>
      </c>
      <c r="Q76" s="1"/>
      <c r="R76" s="5">
        <f t="shared" si="49"/>
        <v>1.3799055435362496E-4</v>
      </c>
      <c r="S76" s="1"/>
      <c r="T76" s="1">
        <f>SUM(OSRRefT22_11x_0)</f>
        <v>0</v>
      </c>
      <c r="U76" s="1"/>
      <c r="V76" s="5">
        <f t="shared" si="50"/>
        <v>0</v>
      </c>
      <c r="W76" s="1"/>
      <c r="X76" s="1">
        <f t="shared" si="51"/>
        <v>15.02</v>
      </c>
      <c r="Y76" s="1"/>
      <c r="Z76" s="5">
        <f t="shared" si="52"/>
        <v>0</v>
      </c>
    </row>
    <row r="77" spans="1:26" s="24" customFormat="1" hidden="1" outlineLevel="2" x14ac:dyDescent="0.25">
      <c r="A77" s="27"/>
      <c r="B77" s="11" t="str">
        <f>CONCATENATE("          ", "6274", " - ", "UTILITIES")</f>
        <v xml:space="preserve">          6274 - UTILITIES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15.02</v>
      </c>
      <c r="Q77" s="2"/>
      <c r="R77" s="6">
        <f t="shared" si="49"/>
        <v>1.3799055435362496E-4</v>
      </c>
      <c r="S77" s="2"/>
      <c r="T77" s="7"/>
      <c r="U77" s="2"/>
      <c r="V77" s="6">
        <f t="shared" si="50"/>
        <v>0</v>
      </c>
      <c r="W77" s="2"/>
      <c r="X77" s="7">
        <f t="shared" si="51"/>
        <v>15.02</v>
      </c>
      <c r="Y77" s="2"/>
      <c r="Z77" s="6">
        <f t="shared" si="52"/>
        <v>0</v>
      </c>
    </row>
    <row r="78" spans="1:26" s="58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6" t="s">
        <v>0</v>
      </c>
      <c r="C79" s="10"/>
      <c r="D79" s="4">
        <f>SUM(OSRRefD25x_0)</f>
        <v>6782</v>
      </c>
      <c r="E79" s="4"/>
      <c r="F79" s="12">
        <f t="shared" ref="F79:F80" si="53">IF(D$12=0,0,D79/D$12)</f>
        <v>1.5268550433269317</v>
      </c>
      <c r="G79" s="4"/>
      <c r="H79" s="4">
        <f>SUM(OSRRefH25x_0)</f>
        <v>6875</v>
      </c>
      <c r="I79" s="4"/>
      <c r="J79" s="12">
        <f t="shared" ref="J79:J80" si="54">IF(H$12=0,0,H79/H$12)</f>
        <v>0.14030612244897958</v>
      </c>
      <c r="K79" s="4"/>
      <c r="L79" s="4">
        <f t="shared" ref="L79:L80" si="55">+D79-H79</f>
        <v>-93</v>
      </c>
      <c r="M79" s="4"/>
      <c r="N79" s="12">
        <f t="shared" ref="N79:N80" si="56">IF(H79=0,0,L79/H79)</f>
        <v>-1.3527272727272728E-2</v>
      </c>
      <c r="O79" s="10"/>
      <c r="P79" s="4">
        <f>SUM(OSRRefP25x_0)</f>
        <v>54256</v>
      </c>
      <c r="Q79" s="4"/>
      <c r="R79" s="12">
        <f t="shared" ref="R79:R80" si="57">IF(P$12=0,0,P79/P$12)</f>
        <v>0.49845642589948574</v>
      </c>
      <c r="S79" s="4"/>
      <c r="T79" s="4">
        <f>SUM(OSRRefT25x_0)</f>
        <v>55000</v>
      </c>
      <c r="U79" s="4"/>
      <c r="V79" s="12">
        <f t="shared" ref="V79:V80" si="58">IF(T$12=0,0,T79/T$12)</f>
        <v>0.19912169231716104</v>
      </c>
      <c r="W79" s="4"/>
      <c r="X79" s="4">
        <f t="shared" ref="X79:X80" si="59">+P79-T79</f>
        <v>-744</v>
      </c>
      <c r="Y79" s="4"/>
      <c r="Z79" s="12">
        <f t="shared" ref="Z79:Z80" si="60">IF(T79=0,0,X79/T79)</f>
        <v>-1.3527272727272728E-2</v>
      </c>
    </row>
    <row r="80" spans="1:26" s="24" customFormat="1" hidden="1" outlineLevel="1" x14ac:dyDescent="0.25">
      <c r="A80" s="51"/>
      <c r="B80" s="11" t="str">
        <f>CONCATENATE("          ", "9150", " - ", "MISC. INCOME")</f>
        <v xml:space="preserve">          9150 - MISC. INCOME</v>
      </c>
      <c r="C80" s="11"/>
      <c r="D80" s="2">
        <f>--6782</f>
        <v>6782</v>
      </c>
      <c r="E80" s="2"/>
      <c r="F80" s="22">
        <f t="shared" si="53"/>
        <v>1.5268550433269317</v>
      </c>
      <c r="G80" s="2"/>
      <c r="H80" s="2">
        <v>6875</v>
      </c>
      <c r="I80" s="2"/>
      <c r="J80" s="22">
        <f t="shared" si="54"/>
        <v>0.14030612244897958</v>
      </c>
      <c r="K80" s="2"/>
      <c r="L80" s="2">
        <f t="shared" si="55"/>
        <v>-93</v>
      </c>
      <c r="M80" s="2"/>
      <c r="N80" s="22">
        <f t="shared" si="56"/>
        <v>-1.3527272727272728E-2</v>
      </c>
      <c r="O80" s="11"/>
      <c r="P80" s="2">
        <f>--54256</f>
        <v>54256</v>
      </c>
      <c r="Q80" s="2"/>
      <c r="R80" s="22">
        <f t="shared" si="57"/>
        <v>0.49845642589948574</v>
      </c>
      <c r="S80" s="2"/>
      <c r="T80" s="2">
        <v>55000</v>
      </c>
      <c r="U80" s="2"/>
      <c r="V80" s="22">
        <f t="shared" si="58"/>
        <v>0.19912169231716104</v>
      </c>
      <c r="W80" s="2"/>
      <c r="X80" s="2">
        <f t="shared" si="59"/>
        <v>-744</v>
      </c>
      <c r="Y80" s="2"/>
      <c r="Z80" s="22">
        <f t="shared" si="60"/>
        <v>-1.3527272727272728E-2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3</v>
      </c>
      <c r="C82" s="25"/>
      <c r="D82" s="19">
        <f>+D28-D30+D79</f>
        <v>-16368.850000000002</v>
      </c>
      <c r="E82" s="13"/>
      <c r="F82" s="21">
        <f>IF(D$12=0,0,D82/D$12)</f>
        <v>-3.6851756378593405</v>
      </c>
      <c r="G82" s="13"/>
      <c r="H82" s="19">
        <f>+H28-H30+H79</f>
        <v>19583.850390507658</v>
      </c>
      <c r="I82" s="13"/>
      <c r="J82" s="21">
        <f>IF(H$12=0,0,H82/H$12)</f>
        <v>0.39967041613280935</v>
      </c>
      <c r="K82" s="15"/>
      <c r="L82" s="19">
        <f>+D82-H82</f>
        <v>-35952.700390507656</v>
      </c>
      <c r="M82" s="15"/>
      <c r="N82" s="21">
        <f>IF(H82=0,0,L82/H82)</f>
        <v>-1.8358341017522286</v>
      </c>
      <c r="O82" s="26"/>
      <c r="P82" s="19">
        <f>+P28-P30+P79</f>
        <v>-74720.379999999946</v>
      </c>
      <c r="Q82" s="13"/>
      <c r="R82" s="21">
        <f>IF(P$12=0,0,P82/P$12)</f>
        <v>-0.68646515697160482</v>
      </c>
      <c r="S82" s="13"/>
      <c r="T82" s="19">
        <f>+T28-T30+T79</f>
        <v>72940.02957531705</v>
      </c>
      <c r="U82" s="13"/>
      <c r="V82" s="21">
        <f>IF(T$12=0,0,T82/T$12)</f>
        <v>0.2640716750309256</v>
      </c>
      <c r="W82" s="15"/>
      <c r="X82" s="19">
        <f>+P82-T82</f>
        <v>-147660.409575317</v>
      </c>
      <c r="Y82" s="15"/>
      <c r="Z82" s="21">
        <f>IF(T82=0,0,X82/T82)</f>
        <v>-2.0244084138030756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2603.31</v>
      </c>
      <c r="E84" s="4"/>
      <c r="F84" s="12">
        <f>IF(D$12=0,0,D84/D$12)</f>
        <v>0.58609215612554322</v>
      </c>
      <c r="G84" s="4"/>
      <c r="H84" s="4">
        <v>8072</v>
      </c>
      <c r="I84" s="4"/>
      <c r="J84" s="12">
        <f>IF(H$12=0,0,H84/H$12)</f>
        <v>0.16473469387755102</v>
      </c>
      <c r="K84" s="4"/>
      <c r="L84" s="4">
        <f>+D84-H84</f>
        <v>-5468.6900000000005</v>
      </c>
      <c r="M84" s="4"/>
      <c r="N84" s="12">
        <f>IF(H84=0,0,L84/H84)</f>
        <v>-0.67748885034687811</v>
      </c>
      <c r="O84" s="10"/>
      <c r="P84" s="4">
        <v>21555.8</v>
      </c>
      <c r="Q84" s="4"/>
      <c r="R84" s="12">
        <f>IF(P$12=0,0,P84/P$12)</f>
        <v>0.1980357384511231</v>
      </c>
      <c r="S84" s="4"/>
      <c r="T84" s="4">
        <v>47502</v>
      </c>
      <c r="U84" s="4"/>
      <c r="V84" s="12">
        <f>IF(T$12=0,0,T84/T$12)</f>
        <v>0.17197597506272333</v>
      </c>
      <c r="W84" s="4"/>
      <c r="X84" s="4">
        <f>+P84-T84</f>
        <v>-25946.2</v>
      </c>
      <c r="Y84" s="4"/>
      <c r="Z84" s="12">
        <f>IF(T84=0,0,X84/T84)</f>
        <v>-0.54621279104037723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4</v>
      </c>
      <c r="C86" s="25"/>
      <c r="D86" s="34">
        <f>+D82-D84</f>
        <v>-18972.160000000003</v>
      </c>
      <c r="E86" s="13"/>
      <c r="F86" s="30">
        <f>IF(D$12=0,0,D86/D$12)</f>
        <v>-4.271267793984884</v>
      </c>
      <c r="G86" s="13"/>
      <c r="H86" s="34">
        <f>+H82-H84</f>
        <v>11511.850390507658</v>
      </c>
      <c r="I86" s="13"/>
      <c r="J86" s="30">
        <f>IF(H$12=0,0,H86/H$12)</f>
        <v>0.23493572225525833</v>
      </c>
      <c r="K86" s="15"/>
      <c r="L86" s="34">
        <f>D86-H86</f>
        <v>-30484.010390507661</v>
      </c>
      <c r="M86" s="15"/>
      <c r="N86" s="30">
        <f>IF(H86=0,0,L86/H86)</f>
        <v>-2.6480547745516136</v>
      </c>
      <c r="O86" s="26"/>
      <c r="P86" s="34">
        <f>+P82-P84</f>
        <v>-96276.179999999949</v>
      </c>
      <c r="Q86" s="13"/>
      <c r="R86" s="30">
        <f>IF(P$12=0,0,P86/P$12)</f>
        <v>-0.88450089542272792</v>
      </c>
      <c r="S86" s="13"/>
      <c r="T86" s="34">
        <f>+T82-T84</f>
        <v>25438.02957531705</v>
      </c>
      <c r="U86" s="13"/>
      <c r="V86" s="30">
        <f>IF(T$12=0,0,T86/T$12)</f>
        <v>9.2095699968202258E-2</v>
      </c>
      <c r="W86" s="15"/>
      <c r="X86" s="34">
        <f>P86-T86</f>
        <v>-121714.209575317</v>
      </c>
      <c r="Y86" s="15"/>
      <c r="Z86" s="30">
        <f>IF(T86=0,0,X86/T86)</f>
        <v>-4.7847341797816902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5</v>
      </c>
      <c r="C89" s="25"/>
      <c r="D89" s="35">
        <f>SUM(D86:D88)</f>
        <v>-18972.160000000003</v>
      </c>
      <c r="E89" s="13"/>
      <c r="F89" s="31">
        <f>IF(D$12=0,0,D89/D$12)</f>
        <v>-4.271267793984884</v>
      </c>
      <c r="G89" s="13"/>
      <c r="H89" s="35">
        <f>SUM(H86:H88)</f>
        <v>11511.850390507658</v>
      </c>
      <c r="I89" s="13"/>
      <c r="J89" s="31">
        <f>IF(H$12=0,0,H89/H$12)</f>
        <v>0.23493572225525833</v>
      </c>
      <c r="K89" s="15"/>
      <c r="L89" s="35">
        <f>+D89-H89</f>
        <v>-30484.010390507661</v>
      </c>
      <c r="M89" s="15"/>
      <c r="N89" s="31">
        <f>IF(H89=0,0,L89/H89)</f>
        <v>-2.6480547745516136</v>
      </c>
      <c r="O89" s="26"/>
      <c r="P89" s="35">
        <f>SUM(P86:P88)</f>
        <v>-96276.179999999949</v>
      </c>
      <c r="Q89" s="13"/>
      <c r="R89" s="31">
        <f>IF(P$12=0,0,P89/P$12)</f>
        <v>-0.88450089542272792</v>
      </c>
      <c r="S89" s="13"/>
      <c r="T89" s="35">
        <f>SUM(T86:T88)</f>
        <v>25438.02957531705</v>
      </c>
      <c r="U89" s="13"/>
      <c r="V89" s="31">
        <f>IF(T$12=0,0,T89/T$12)</f>
        <v>9.2095699968202258E-2</v>
      </c>
      <c r="W89" s="15"/>
      <c r="X89" s="35">
        <f>+P89-T89</f>
        <v>-121714.209575317</v>
      </c>
      <c r="Y89" s="15"/>
      <c r="Z89" s="31">
        <f>IF(T89=0,0,X89/T89)</f>
        <v>-4.7847341797816902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3">
        <v>44267.671448229165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 t="s">
        <v>314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4441.8100000000013</v>
      </c>
      <c r="E12" s="4"/>
      <c r="F12" s="12"/>
      <c r="G12" s="4"/>
      <c r="H12" s="4">
        <f>SUM(OSRRefH13x_0)</f>
        <v>49000</v>
      </c>
      <c r="I12" s="4"/>
      <c r="J12" s="12"/>
      <c r="K12" s="4"/>
      <c r="L12" s="4">
        <f t="shared" ref="L12:L24" si="0">+D12-H12</f>
        <v>-44558.19</v>
      </c>
      <c r="M12" s="4"/>
      <c r="N12" s="12">
        <f t="shared" ref="N12:N24" si="1">IF(H12=0,0,L12/H12)</f>
        <v>-0.9093508163265307</v>
      </c>
      <c r="O12" s="10"/>
      <c r="P12" s="4">
        <f>SUM(OSRRefP13x_0)</f>
        <v>108848.03</v>
      </c>
      <c r="Q12" s="4"/>
      <c r="R12" s="12"/>
      <c r="S12" s="4"/>
      <c r="T12" s="4">
        <f>SUM(OSRRefT13x_0)</f>
        <v>276213</v>
      </c>
      <c r="U12" s="4"/>
      <c r="V12" s="12"/>
      <c r="W12" s="4"/>
      <c r="X12" s="4">
        <f t="shared" ref="X12:X24" si="2">+P12-T12</f>
        <v>-167364.97</v>
      </c>
      <c r="Y12" s="4"/>
      <c r="Z12" s="12">
        <f t="shared" ref="Z12:Z24" si="3">IF(T12=0,0,X12/T12)</f>
        <v>-0.60592720110928888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18000</v>
      </c>
      <c r="I13" s="2"/>
      <c r="J13" s="22"/>
      <c r="K13" s="2"/>
      <c r="L13" s="2">
        <f t="shared" si="0"/>
        <v>-18000</v>
      </c>
      <c r="M13" s="2"/>
      <c r="N13" s="22">
        <f t="shared" si="1"/>
        <v>-1</v>
      </c>
      <c r="O13" s="11"/>
      <c r="P13" s="2">
        <f>-9.28</f>
        <v>-9.2799999999999994</v>
      </c>
      <c r="Q13" s="2"/>
      <c r="R13" s="22"/>
      <c r="S13" s="2"/>
      <c r="T13" s="2">
        <v>211713</v>
      </c>
      <c r="U13" s="2"/>
      <c r="V13" s="22"/>
      <c r="W13" s="2"/>
      <c r="X13" s="2">
        <f t="shared" si="2"/>
        <v>-211722.28</v>
      </c>
      <c r="Y13" s="2"/>
      <c r="Z13" s="22">
        <f t="shared" si="3"/>
        <v>-1.0000438329247614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--3560.25</f>
        <v>3560.25</v>
      </c>
      <c r="E14" s="2"/>
      <c r="F14" s="22"/>
      <c r="G14" s="2"/>
      <c r="H14" s="2"/>
      <c r="I14" s="2"/>
      <c r="J14" s="22"/>
      <c r="K14" s="2"/>
      <c r="L14" s="2">
        <f t="shared" si="0"/>
        <v>3560.25</v>
      </c>
      <c r="M14" s="2"/>
      <c r="N14" s="22">
        <f t="shared" si="1"/>
        <v>0</v>
      </c>
      <c r="O14" s="11"/>
      <c r="P14" s="2">
        <f>--92066.22</f>
        <v>92066.22</v>
      </c>
      <c r="Q14" s="2"/>
      <c r="R14" s="22"/>
      <c r="S14" s="2"/>
      <c r="T14" s="2"/>
      <c r="U14" s="2"/>
      <c r="V14" s="22"/>
      <c r="W14" s="2"/>
      <c r="X14" s="2">
        <f t="shared" si="2"/>
        <v>92066.22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--603.05</f>
        <v>603.04999999999995</v>
      </c>
      <c r="E15" s="2"/>
      <c r="F15" s="22"/>
      <c r="G15" s="2"/>
      <c r="H15" s="2"/>
      <c r="I15" s="2"/>
      <c r="J15" s="22"/>
      <c r="K15" s="2"/>
      <c r="L15" s="2">
        <f t="shared" si="0"/>
        <v>603.04999999999995</v>
      </c>
      <c r="M15" s="2"/>
      <c r="N15" s="22">
        <f t="shared" si="1"/>
        <v>0</v>
      </c>
      <c r="O15" s="11"/>
      <c r="P15" s="2">
        <f>--15148.63</f>
        <v>15148.63</v>
      </c>
      <c r="Q15" s="2"/>
      <c r="R15" s="22"/>
      <c r="S15" s="2"/>
      <c r="T15" s="2"/>
      <c r="U15" s="2"/>
      <c r="V15" s="22"/>
      <c r="W15" s="2"/>
      <c r="X15" s="2">
        <f t="shared" si="2"/>
        <v>15148.63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--3.47</f>
        <v>3.47</v>
      </c>
      <c r="E16" s="2"/>
      <c r="F16" s="22"/>
      <c r="G16" s="2"/>
      <c r="H16" s="2"/>
      <c r="I16" s="2"/>
      <c r="J16" s="22"/>
      <c r="K16" s="2"/>
      <c r="L16" s="2">
        <f t="shared" si="0"/>
        <v>3.47</v>
      </c>
      <c r="M16" s="2"/>
      <c r="N16" s="22">
        <f t="shared" si="1"/>
        <v>0</v>
      </c>
      <c r="O16" s="11"/>
      <c r="P16" s="2">
        <f>--37.78</f>
        <v>37.78</v>
      </c>
      <c r="Q16" s="2"/>
      <c r="R16" s="22"/>
      <c r="S16" s="2"/>
      <c r="T16" s="2"/>
      <c r="U16" s="2"/>
      <c r="V16" s="22"/>
      <c r="W16" s="2"/>
      <c r="X16" s="2">
        <f t="shared" si="2"/>
        <v>37.78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"4095", " - ", "TAXABLE SALES-CUSTOMER SERVICE")</f>
        <v xml:space="preserve">          4095 - TAXABLE SALES-CUSTOMER SERVICE</v>
      </c>
      <c r="C17" s="11"/>
      <c r="D17" s="2">
        <f>--139.85</f>
        <v>139.85</v>
      </c>
      <c r="E17" s="2"/>
      <c r="F17" s="22"/>
      <c r="G17" s="2"/>
      <c r="H17" s="2"/>
      <c r="I17" s="2"/>
      <c r="J17" s="22"/>
      <c r="K17" s="2"/>
      <c r="L17" s="2">
        <f t="shared" si="0"/>
        <v>139.85</v>
      </c>
      <c r="M17" s="2"/>
      <c r="N17" s="22">
        <f t="shared" si="1"/>
        <v>0</v>
      </c>
      <c r="O17" s="11"/>
      <c r="P17" s="2">
        <f>--139.85</f>
        <v>139.85</v>
      </c>
      <c r="Q17" s="2"/>
      <c r="R17" s="22"/>
      <c r="S17" s="2"/>
      <c r="T17" s="2"/>
      <c r="U17" s="2"/>
      <c r="V17" s="22"/>
      <c r="W17" s="2"/>
      <c r="X17" s="2">
        <f t="shared" si="2"/>
        <v>139.85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22"/>
      <c r="G18" s="2"/>
      <c r="H18" s="2">
        <v>31000</v>
      </c>
      <c r="I18" s="2"/>
      <c r="J18" s="22"/>
      <c r="K18" s="2"/>
      <c r="L18" s="2">
        <f t="shared" si="0"/>
        <v>-31000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64500</v>
      </c>
      <c r="U18" s="2"/>
      <c r="V18" s="22"/>
      <c r="W18" s="2"/>
      <c r="X18" s="2">
        <f t="shared" si="2"/>
        <v>-64500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--50.39</f>
        <v>50.39</v>
      </c>
      <c r="E19" s="2"/>
      <c r="F19" s="22"/>
      <c r="G19" s="2"/>
      <c r="H19" s="2"/>
      <c r="I19" s="2"/>
      <c r="J19" s="22"/>
      <c r="K19" s="2"/>
      <c r="L19" s="2">
        <f t="shared" si="0"/>
        <v>50.39</v>
      </c>
      <c r="M19" s="2"/>
      <c r="N19" s="22">
        <f t="shared" si="1"/>
        <v>0</v>
      </c>
      <c r="O19" s="11"/>
      <c r="P19" s="2">
        <f>--1278.64</f>
        <v>1278.6400000000001</v>
      </c>
      <c r="Q19" s="2"/>
      <c r="R19" s="22"/>
      <c r="S19" s="2"/>
      <c r="T19" s="2"/>
      <c r="U19" s="2"/>
      <c r="V19" s="22"/>
      <c r="W19" s="2"/>
      <c r="X19" s="2">
        <f t="shared" si="2"/>
        <v>1278.6400000000001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--1110.59</f>
        <v>1110.5899999999999</v>
      </c>
      <c r="Q20" s="2"/>
      <c r="R20" s="22"/>
      <c r="S20" s="2"/>
      <c r="T20" s="2"/>
      <c r="U20" s="2"/>
      <c r="V20" s="22"/>
      <c r="W20" s="2"/>
      <c r="X20" s="2">
        <f t="shared" si="2"/>
        <v>1110.5899999999999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--67.8</f>
        <v>67.8</v>
      </c>
      <c r="E21" s="2"/>
      <c r="F21" s="22"/>
      <c r="G21" s="2"/>
      <c r="H21" s="2"/>
      <c r="I21" s="2"/>
      <c r="J21" s="22"/>
      <c r="K21" s="2"/>
      <c r="L21" s="2">
        <f t="shared" si="0"/>
        <v>67.8</v>
      </c>
      <c r="M21" s="2"/>
      <c r="N21" s="22">
        <f t="shared" si="1"/>
        <v>0</v>
      </c>
      <c r="O21" s="11"/>
      <c r="P21" s="2">
        <f>--208.4</f>
        <v>208.4</v>
      </c>
      <c r="Q21" s="2"/>
      <c r="R21" s="22"/>
      <c r="S21" s="2"/>
      <c r="T21" s="2"/>
      <c r="U21" s="2"/>
      <c r="V21" s="22"/>
      <c r="W21" s="2"/>
      <c r="X21" s="2">
        <f t="shared" si="2"/>
        <v>208.4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"4147", " - ", "NON-TAXABLE SALES-MISC")</f>
        <v xml:space="preserve">          4147 - NON-TAXABLE SALES-MISC</v>
      </c>
      <c r="C22" s="11"/>
      <c r="D22" s="2">
        <f>--17</f>
        <v>17</v>
      </c>
      <c r="E22" s="2"/>
      <c r="F22" s="22"/>
      <c r="G22" s="2"/>
      <c r="H22" s="2"/>
      <c r="I22" s="2"/>
      <c r="J22" s="22"/>
      <c r="K22" s="2"/>
      <c r="L22" s="2">
        <f t="shared" si="0"/>
        <v>17</v>
      </c>
      <c r="M22" s="2"/>
      <c r="N22" s="22">
        <f t="shared" si="1"/>
        <v>0</v>
      </c>
      <c r="O22" s="11"/>
      <c r="P22" s="2">
        <f>--132.5</f>
        <v>132.5</v>
      </c>
      <c r="Q22" s="2"/>
      <c r="R22" s="22"/>
      <c r="S22" s="2"/>
      <c r="T22" s="2"/>
      <c r="U22" s="2"/>
      <c r="V22" s="22"/>
      <c r="W22" s="2"/>
      <c r="X22" s="2">
        <f t="shared" si="2"/>
        <v>132.5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4"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-1254.1</f>
        <v>-1254.0999999999999</v>
      </c>
      <c r="Q23" s="2"/>
      <c r="R23" s="22"/>
      <c r="S23" s="2"/>
      <c r="T23" s="2"/>
      <c r="U23" s="2"/>
      <c r="V23" s="22"/>
      <c r="W23" s="2"/>
      <c r="X23" s="2">
        <f t="shared" si="2"/>
        <v>-1254.0999999999999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4"/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-11.2</f>
        <v>-11.2</v>
      </c>
      <c r="Q24" s="2"/>
      <c r="R24" s="22"/>
      <c r="S24" s="2"/>
      <c r="T24" s="2"/>
      <c r="U24" s="2"/>
      <c r="V24" s="22"/>
      <c r="W24" s="2"/>
      <c r="X24" s="2">
        <f t="shared" si="2"/>
        <v>-11.2</v>
      </c>
      <c r="Y24" s="2"/>
      <c r="Z24" s="22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19">
        <f>D12-D26</f>
        <v>4441.8100000000013</v>
      </c>
      <c r="E28" s="13"/>
      <c r="F28" s="21">
        <f>IF(D$12=0,0,D28/D$12)</f>
        <v>1</v>
      </c>
      <c r="G28" s="13"/>
      <c r="H28" s="19">
        <f>H12-H26</f>
        <v>49000</v>
      </c>
      <c r="I28" s="13"/>
      <c r="J28" s="21">
        <f>IF(H$12=0,0,H28/H$12)</f>
        <v>1</v>
      </c>
      <c r="K28" s="15"/>
      <c r="L28" s="19">
        <f>+D28-H28</f>
        <v>-44558.19</v>
      </c>
      <c r="M28" s="15"/>
      <c r="N28" s="21">
        <f>IF(H28=0,0,L28/H28)</f>
        <v>-0.9093508163265307</v>
      </c>
      <c r="O28" s="26"/>
      <c r="P28" s="19">
        <f>P12-P26</f>
        <v>108848.03</v>
      </c>
      <c r="Q28" s="13"/>
      <c r="R28" s="21">
        <f>IF(P$12=0,0,P28/P$12)</f>
        <v>1</v>
      </c>
      <c r="S28" s="13"/>
      <c r="T28" s="19">
        <f>T12-T26</f>
        <v>276213</v>
      </c>
      <c r="U28" s="13"/>
      <c r="V28" s="21">
        <f>IF(T$12=0,0,T28/T$12)</f>
        <v>1</v>
      </c>
      <c r="W28" s="15"/>
      <c r="X28" s="19">
        <f>+P28-T28</f>
        <v>-167364.97</v>
      </c>
      <c r="Y28" s="15"/>
      <c r="Z28" s="21">
        <f>IF(T28=0,0,X28/T28)</f>
        <v>-0.60592720110928888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27592.660000000003</v>
      </c>
      <c r="E30" s="20"/>
      <c r="F30" s="33">
        <f t="shared" ref="F30:F40" si="5">IF(D$12=0,0,D30/D$12)</f>
        <v>6.2120306811862722</v>
      </c>
      <c r="G30" s="20"/>
      <c r="H30" s="20">
        <f>SUM(OSRRefH22x_0)</f>
        <v>36291.149609492342</v>
      </c>
      <c r="I30" s="20"/>
      <c r="J30" s="33">
        <f t="shared" ref="J30:J40" si="6">IF(H$12=0,0,H30/H$12)</f>
        <v>0.74063570631617026</v>
      </c>
      <c r="K30" s="4"/>
      <c r="L30" s="20">
        <f t="shared" ref="L30:L40" si="7">+D30-H30</f>
        <v>-8698.4896094923388</v>
      </c>
      <c r="M30" s="4"/>
      <c r="N30" s="33">
        <f t="shared" ref="N30:N40" si="8">IF(H30=0,0,L30/H30)</f>
        <v>-0.23968625141643776</v>
      </c>
      <c r="O30" s="10"/>
      <c r="P30" s="20">
        <f>SUM(OSRRefP22x_0)</f>
        <v>237824.40999999995</v>
      </c>
      <c r="Q30" s="20"/>
      <c r="R30" s="33">
        <f t="shared" ref="R30:R40" si="9">IF(P$12=0,0,P30/P$12)</f>
        <v>2.1849215828710906</v>
      </c>
      <c r="S30" s="20"/>
      <c r="T30" s="20">
        <f>SUM(OSRRefT22x_0)</f>
        <v>258272.97042468295</v>
      </c>
      <c r="U30" s="20"/>
      <c r="V30" s="33">
        <f t="shared" ref="V30:V40" si="10">IF(T$12=0,0,T30/T$12)</f>
        <v>0.93505001728623549</v>
      </c>
      <c r="W30" s="4"/>
      <c r="X30" s="20">
        <f t="shared" ref="X30:X40" si="11">+P30-T30</f>
        <v>-20448.560424683004</v>
      </c>
      <c r="Y30" s="4"/>
      <c r="Z30" s="33">
        <f t="shared" ref="Z30:Z40" si="12">IF(T30=0,0,X30/T30)</f>
        <v>-7.9174217848112655E-2</v>
      </c>
    </row>
    <row r="31" spans="1:26" s="28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8802.75</v>
      </c>
      <c r="E31" s="1"/>
      <c r="F31" s="5">
        <f t="shared" si="5"/>
        <v>1.9817934580722718</v>
      </c>
      <c r="G31" s="1"/>
      <c r="H31" s="1">
        <f>SUM(OSRRefH22_0x_0)</f>
        <v>6352.6410479538445</v>
      </c>
      <c r="I31" s="1"/>
      <c r="J31" s="5">
        <f t="shared" si="6"/>
        <v>0.12964573567252743</v>
      </c>
      <c r="K31" s="1"/>
      <c r="L31" s="1">
        <f t="shared" si="7"/>
        <v>2450.1089520461555</v>
      </c>
      <c r="M31" s="1"/>
      <c r="N31" s="5">
        <f t="shared" si="8"/>
        <v>0.38568351864226991</v>
      </c>
      <c r="O31" s="14"/>
      <c r="P31" s="1">
        <f>SUM(OSRRefP22_0x_0)</f>
        <v>75487.97</v>
      </c>
      <c r="Q31" s="1"/>
      <c r="R31" s="5">
        <f t="shared" si="9"/>
        <v>0.69351709902328962</v>
      </c>
      <c r="S31" s="1"/>
      <c r="T31" s="1">
        <f>SUM(OSRRefT22_0x_0)</f>
        <v>54006.770511221126</v>
      </c>
      <c r="U31" s="1"/>
      <c r="V31" s="5">
        <f t="shared" si="10"/>
        <v>0.19552580983234361</v>
      </c>
      <c r="W31" s="1"/>
      <c r="X31" s="1">
        <f t="shared" si="11"/>
        <v>21481.199488778875</v>
      </c>
      <c r="Y31" s="1"/>
      <c r="Z31" s="5">
        <f t="shared" si="12"/>
        <v>0.39775012068747329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7">
        <v>1213.6400000000001</v>
      </c>
      <c r="E32" s="2"/>
      <c r="F32" s="6">
        <f t="shared" si="5"/>
        <v>0.27323095765014704</v>
      </c>
      <c r="G32" s="2"/>
      <c r="H32" s="7">
        <v>1005.53020137692</v>
      </c>
      <c r="I32" s="2"/>
      <c r="J32" s="6">
        <f t="shared" si="6"/>
        <v>2.0521024517896325E-2</v>
      </c>
      <c r="K32" s="2"/>
      <c r="L32" s="7">
        <f t="shared" si="7"/>
        <v>208.10979862308011</v>
      </c>
      <c r="M32" s="2"/>
      <c r="N32" s="6">
        <f t="shared" si="8"/>
        <v>0.20696523917243415</v>
      </c>
      <c r="O32" s="11"/>
      <c r="P32" s="7">
        <v>10254.049999999999</v>
      </c>
      <c r="Q32" s="2"/>
      <c r="R32" s="6">
        <f t="shared" si="9"/>
        <v>9.4205195996656985E-2</v>
      </c>
      <c r="S32" s="2"/>
      <c r="T32" s="7">
        <v>9180.0635045480503</v>
      </c>
      <c r="U32" s="2"/>
      <c r="V32" s="6">
        <f t="shared" si="10"/>
        <v>3.3235450556447561E-2</v>
      </c>
      <c r="W32" s="2"/>
      <c r="X32" s="7">
        <f t="shared" si="11"/>
        <v>1073.9864954519489</v>
      </c>
      <c r="Y32" s="2"/>
      <c r="Z32" s="6">
        <f t="shared" si="12"/>
        <v>0.11699118365791993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7">
        <v>313.57</v>
      </c>
      <c r="E33" s="2"/>
      <c r="F33" s="6">
        <f t="shared" si="5"/>
        <v>7.0595095242705089E-2</v>
      </c>
      <c r="G33" s="2"/>
      <c r="H33" s="7">
        <v>273.38833942307701</v>
      </c>
      <c r="I33" s="2"/>
      <c r="J33" s="6">
        <f t="shared" si="6"/>
        <v>5.5793538657770815E-3</v>
      </c>
      <c r="K33" s="2"/>
      <c r="L33" s="7">
        <f t="shared" si="7"/>
        <v>40.18166057692298</v>
      </c>
      <c r="M33" s="2"/>
      <c r="N33" s="6">
        <f t="shared" si="8"/>
        <v>0.1469764974677307</v>
      </c>
      <c r="O33" s="11"/>
      <c r="P33" s="7">
        <v>2718.6</v>
      </c>
      <c r="Q33" s="2"/>
      <c r="R33" s="6">
        <f t="shared" si="9"/>
        <v>2.49761065955902E-2</v>
      </c>
      <c r="S33" s="2"/>
      <c r="T33" s="7">
        <v>2397.6273693269231</v>
      </c>
      <c r="U33" s="2"/>
      <c r="V33" s="6">
        <f t="shared" si="10"/>
        <v>8.6803567150239968E-3</v>
      </c>
      <c r="W33" s="2"/>
      <c r="X33" s="7">
        <f t="shared" si="11"/>
        <v>320.97263067307676</v>
      </c>
      <c r="Y33" s="2"/>
      <c r="Z33" s="6">
        <f t="shared" si="12"/>
        <v>0.13387094040521494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7">
        <v>3421.48</v>
      </c>
      <c r="E34" s="2"/>
      <c r="F34" s="6">
        <f t="shared" si="5"/>
        <v>0.77028958915397083</v>
      </c>
      <c r="G34" s="2"/>
      <c r="H34" s="7">
        <v>2645</v>
      </c>
      <c r="I34" s="2"/>
      <c r="J34" s="6">
        <f t="shared" si="6"/>
        <v>5.3979591836734696E-2</v>
      </c>
      <c r="K34" s="2"/>
      <c r="L34" s="7">
        <f t="shared" si="7"/>
        <v>776.48</v>
      </c>
      <c r="M34" s="2"/>
      <c r="N34" s="6">
        <f t="shared" si="8"/>
        <v>0.29356521739130437</v>
      </c>
      <c r="O34" s="11"/>
      <c r="P34" s="7">
        <v>29214.289999999997</v>
      </c>
      <c r="Q34" s="2"/>
      <c r="R34" s="6">
        <f t="shared" si="9"/>
        <v>0.26839521119491089</v>
      </c>
      <c r="S34" s="2"/>
      <c r="T34" s="7">
        <v>21160</v>
      </c>
      <c r="U34" s="2"/>
      <c r="V34" s="6">
        <f t="shared" si="10"/>
        <v>7.6607545626020498E-2</v>
      </c>
      <c r="W34" s="2"/>
      <c r="X34" s="7">
        <f t="shared" si="11"/>
        <v>8054.2899999999972</v>
      </c>
      <c r="Y34" s="2"/>
      <c r="Z34" s="6">
        <f t="shared" si="12"/>
        <v>0.38063752362948949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44.07</v>
      </c>
      <c r="E35" s="2"/>
      <c r="F35" s="6">
        <f t="shared" si="5"/>
        <v>9.9216310468029888E-3</v>
      </c>
      <c r="G35" s="2"/>
      <c r="H35" s="7">
        <v>43.496200999999999</v>
      </c>
      <c r="I35" s="2"/>
      <c r="J35" s="6">
        <f t="shared" si="6"/>
        <v>8.8767757142857136E-4</v>
      </c>
      <c r="K35" s="2"/>
      <c r="L35" s="7">
        <f t="shared" si="7"/>
        <v>0.57379900000000106</v>
      </c>
      <c r="M35" s="2"/>
      <c r="N35" s="6">
        <f t="shared" si="8"/>
        <v>1.3191933704738973E-2</v>
      </c>
      <c r="O35" s="11"/>
      <c r="P35" s="7">
        <v>382.06</v>
      </c>
      <c r="Q35" s="2"/>
      <c r="R35" s="6">
        <f t="shared" si="9"/>
        <v>3.5100313712613817E-3</v>
      </c>
      <c r="S35" s="2"/>
      <c r="T35" s="7">
        <v>368.23695850000001</v>
      </c>
      <c r="U35" s="2"/>
      <c r="V35" s="6">
        <f t="shared" si="10"/>
        <v>1.3331630245498945E-3</v>
      </c>
      <c r="W35" s="2"/>
      <c r="X35" s="7">
        <f t="shared" si="11"/>
        <v>13.823041499999988</v>
      </c>
      <c r="Y35" s="2"/>
      <c r="Z35" s="6">
        <f t="shared" si="12"/>
        <v>3.7538441432678704E-2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7">
        <v>1614.45</v>
      </c>
      <c r="E36" s="2"/>
      <c r="F36" s="6">
        <f t="shared" si="5"/>
        <v>0.36346669488339206</v>
      </c>
      <c r="G36" s="2"/>
      <c r="H36" s="7">
        <v>991.92684461538511</v>
      </c>
      <c r="I36" s="2"/>
      <c r="J36" s="6">
        <f t="shared" si="6"/>
        <v>2.0243404992150715E-2</v>
      </c>
      <c r="K36" s="2"/>
      <c r="L36" s="7">
        <f t="shared" si="7"/>
        <v>622.52315538461494</v>
      </c>
      <c r="M36" s="2"/>
      <c r="N36" s="6">
        <f t="shared" si="8"/>
        <v>0.62758978523864362</v>
      </c>
      <c r="O36" s="11"/>
      <c r="P36" s="7">
        <v>14100.34</v>
      </c>
      <c r="Q36" s="2"/>
      <c r="R36" s="6">
        <f t="shared" si="9"/>
        <v>0.12954152684251613</v>
      </c>
      <c r="S36" s="2"/>
      <c r="T36" s="7">
        <v>8679.3598903846141</v>
      </c>
      <c r="U36" s="2"/>
      <c r="V36" s="6">
        <f t="shared" si="10"/>
        <v>3.1422705992783156E-2</v>
      </c>
      <c r="W36" s="2"/>
      <c r="X36" s="7">
        <f t="shared" si="11"/>
        <v>5420.980109615386</v>
      </c>
      <c r="Y36" s="2"/>
      <c r="Z36" s="6">
        <f t="shared" si="12"/>
        <v>0.6245829390737665</v>
      </c>
    </row>
    <row r="37" spans="1:26" s="24" customFormat="1" hidden="1" outlineLevel="2" x14ac:dyDescent="0.25">
      <c r="A37" s="27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5"/>
        <v>0</v>
      </c>
      <c r="G37" s="2"/>
      <c r="H37" s="7">
        <v>0</v>
      </c>
      <c r="I37" s="2"/>
      <c r="J37" s="6">
        <f t="shared" si="6"/>
        <v>0</v>
      </c>
      <c r="K37" s="2"/>
      <c r="L37" s="7">
        <f t="shared" si="7"/>
        <v>0</v>
      </c>
      <c r="M37" s="2"/>
      <c r="N37" s="6">
        <f t="shared" si="8"/>
        <v>0</v>
      </c>
      <c r="O37" s="11"/>
      <c r="P37" s="7"/>
      <c r="Q37" s="2"/>
      <c r="R37" s="6">
        <f t="shared" si="9"/>
        <v>0</v>
      </c>
      <c r="S37" s="2"/>
      <c r="T37" s="7">
        <v>0</v>
      </c>
      <c r="U37" s="2"/>
      <c r="V37" s="6">
        <f t="shared" si="10"/>
        <v>0</v>
      </c>
      <c r="W37" s="2"/>
      <c r="X37" s="7">
        <f t="shared" si="11"/>
        <v>0</v>
      </c>
      <c r="Y37" s="2"/>
      <c r="Z37" s="6">
        <f t="shared" si="12"/>
        <v>0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7">
        <v>1216.0999999999999</v>
      </c>
      <c r="E38" s="2"/>
      <c r="F38" s="6">
        <f t="shared" si="5"/>
        <v>0.27378478593186101</v>
      </c>
      <c r="G38" s="2"/>
      <c r="H38" s="7">
        <v>956.61308461538511</v>
      </c>
      <c r="I38" s="2"/>
      <c r="J38" s="6">
        <f t="shared" si="6"/>
        <v>1.952271601255888E-2</v>
      </c>
      <c r="K38" s="2"/>
      <c r="L38" s="7">
        <f t="shared" si="7"/>
        <v>259.4869153846148</v>
      </c>
      <c r="M38" s="2"/>
      <c r="N38" s="6">
        <f t="shared" si="8"/>
        <v>0.27125587090306613</v>
      </c>
      <c r="O38" s="11"/>
      <c r="P38" s="7">
        <v>10099.629999999999</v>
      </c>
      <c r="Q38" s="2"/>
      <c r="R38" s="6">
        <f t="shared" si="9"/>
        <v>9.2786520803362263E-2</v>
      </c>
      <c r="S38" s="2"/>
      <c r="T38" s="7">
        <v>8370.3644903846143</v>
      </c>
      <c r="U38" s="2"/>
      <c r="V38" s="6">
        <f t="shared" si="10"/>
        <v>3.0304020775215556E-2</v>
      </c>
      <c r="W38" s="2"/>
      <c r="X38" s="7">
        <f t="shared" si="11"/>
        <v>1729.2655096153849</v>
      </c>
      <c r="Y38" s="2"/>
      <c r="Z38" s="6">
        <f t="shared" si="12"/>
        <v>0.20659381220517506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7">
        <v>738.5</v>
      </c>
      <c r="E39" s="2"/>
      <c r="F39" s="6">
        <f t="shared" si="5"/>
        <v>0.16626105123812135</v>
      </c>
      <c r="G39" s="2"/>
      <c r="H39" s="7">
        <v>436.68637692307703</v>
      </c>
      <c r="I39" s="2"/>
      <c r="J39" s="6">
        <f t="shared" si="6"/>
        <v>8.9119668759811647E-3</v>
      </c>
      <c r="K39" s="2"/>
      <c r="L39" s="7">
        <f t="shared" si="7"/>
        <v>301.81362307692297</v>
      </c>
      <c r="M39" s="2"/>
      <c r="N39" s="6">
        <f t="shared" si="8"/>
        <v>0.69114503915492631</v>
      </c>
      <c r="O39" s="11"/>
      <c r="P39" s="7">
        <v>6171.27</v>
      </c>
      <c r="Q39" s="2"/>
      <c r="R39" s="6">
        <f t="shared" si="9"/>
        <v>5.6696202953787959E-2</v>
      </c>
      <c r="S39" s="2"/>
      <c r="T39" s="7">
        <v>3851.1182980769227</v>
      </c>
      <c r="U39" s="2"/>
      <c r="V39" s="6">
        <f t="shared" si="10"/>
        <v>1.3942567142302943E-2</v>
      </c>
      <c r="W39" s="2"/>
      <c r="X39" s="7">
        <f t="shared" si="11"/>
        <v>2320.1517019230778</v>
      </c>
      <c r="Y39" s="2"/>
      <c r="Z39" s="6">
        <f t="shared" si="12"/>
        <v>0.60246181039976321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7">
        <v>240.94</v>
      </c>
      <c r="E40" s="2"/>
      <c r="F40" s="6">
        <f t="shared" si="5"/>
        <v>5.4243652925271439E-2</v>
      </c>
      <c r="G40" s="2"/>
      <c r="H40" s="7"/>
      <c r="I40" s="2"/>
      <c r="J40" s="6">
        <f t="shared" si="6"/>
        <v>0</v>
      </c>
      <c r="K40" s="2"/>
      <c r="L40" s="7">
        <f t="shared" si="7"/>
        <v>240.94</v>
      </c>
      <c r="M40" s="2"/>
      <c r="N40" s="6">
        <f t="shared" si="8"/>
        <v>0</v>
      </c>
      <c r="O40" s="11"/>
      <c r="P40" s="7">
        <v>2547.73</v>
      </c>
      <c r="Q40" s="2"/>
      <c r="R40" s="6">
        <f t="shared" si="9"/>
        <v>2.3406303265203789E-2</v>
      </c>
      <c r="S40" s="2"/>
      <c r="T40" s="7"/>
      <c r="U40" s="2"/>
      <c r="V40" s="6">
        <f t="shared" si="10"/>
        <v>0</v>
      </c>
      <c r="W40" s="2"/>
      <c r="X40" s="7">
        <f t="shared" si="11"/>
        <v>2547.73</v>
      </c>
      <c r="Y40" s="2"/>
      <c r="Z40" s="6">
        <f t="shared" si="12"/>
        <v>0</v>
      </c>
    </row>
    <row r="41" spans="1:26" s="28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15744.670000000002</v>
      </c>
      <c r="E41" s="1"/>
      <c r="F41" s="5">
        <f t="shared" ref="F41:F51" si="13">IF(D$12=0,0,D41/D$12)</f>
        <v>3.5446518423795697</v>
      </c>
      <c r="G41" s="1"/>
      <c r="H41" s="1">
        <f>SUM(OSRRefH22_1x_0)</f>
        <v>10197.5085615385</v>
      </c>
      <c r="I41" s="1"/>
      <c r="J41" s="5">
        <f t="shared" ref="J41:J51" si="14">IF(H$12=0,0,H41/H$12)</f>
        <v>0.20811241962323468</v>
      </c>
      <c r="K41" s="1"/>
      <c r="L41" s="1">
        <f t="shared" ref="L41:L51" si="15">+D41-H41</f>
        <v>5547.1614384615023</v>
      </c>
      <c r="M41" s="1"/>
      <c r="N41" s="5">
        <f t="shared" ref="N41:N51" si="16">IF(H41=0,0,L41/H41)</f>
        <v>0.54397222664597611</v>
      </c>
      <c r="O41" s="14"/>
      <c r="P41" s="1">
        <f>SUM(OSRRefP22_1x_0)</f>
        <v>123848.23999999999</v>
      </c>
      <c r="Q41" s="1"/>
      <c r="R41" s="5">
        <f t="shared" ref="R41:R51" si="17">IF(P$12=0,0,P41/P$12)</f>
        <v>1.1378087412330751</v>
      </c>
      <c r="S41" s="1"/>
      <c r="T41" s="1">
        <f>SUM(OSRRefT22_1x_0)</f>
        <v>89228.199913461809</v>
      </c>
      <c r="U41" s="1"/>
      <c r="V41" s="5">
        <f t="shared" ref="V41:V51" si="18">IF(T$12=0,0,T41/T$12)</f>
        <v>0.32304127580331776</v>
      </c>
      <c r="W41" s="1"/>
      <c r="X41" s="1">
        <f t="shared" ref="X41:X51" si="19">+P41-T41</f>
        <v>34620.040086538182</v>
      </c>
      <c r="Y41" s="1"/>
      <c r="Z41" s="5">
        <f t="shared" ref="Z41:Z51" si="20">IF(T41=0,0,X41/T41)</f>
        <v>0.38799437980497775</v>
      </c>
    </row>
    <row r="42" spans="1:26" s="24" customFormat="1" hidden="1" outlineLevel="2" x14ac:dyDescent="0.25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13"/>
        <v>0</v>
      </c>
      <c r="G42" s="2"/>
      <c r="H42" s="7">
        <v>0</v>
      </c>
      <c r="I42" s="2"/>
      <c r="J42" s="6">
        <f t="shared" si="14"/>
        <v>0</v>
      </c>
      <c r="K42" s="2"/>
      <c r="L42" s="7">
        <f t="shared" si="15"/>
        <v>0</v>
      </c>
      <c r="M42" s="2"/>
      <c r="N42" s="6">
        <f t="shared" si="16"/>
        <v>0</v>
      </c>
      <c r="O42" s="11"/>
      <c r="P42" s="7"/>
      <c r="Q42" s="2"/>
      <c r="R42" s="6">
        <f t="shared" si="17"/>
        <v>0</v>
      </c>
      <c r="S42" s="2"/>
      <c r="T42" s="7">
        <v>0</v>
      </c>
      <c r="U42" s="2"/>
      <c r="V42" s="6">
        <f t="shared" si="18"/>
        <v>0</v>
      </c>
      <c r="W42" s="2"/>
      <c r="X42" s="7">
        <f t="shared" si="19"/>
        <v>0</v>
      </c>
      <c r="Y42" s="2"/>
      <c r="Z42" s="6">
        <f t="shared" si="20"/>
        <v>0</v>
      </c>
    </row>
    <row r="43" spans="1:26" s="24" customFormat="1" hidden="1" outlineLevel="2" x14ac:dyDescent="0.25">
      <c r="A43" s="27"/>
      <c r="B43" s="11" t="str">
        <f>CONCATENATE("          ", "6002", " - ", "STAFF SALARIES")</f>
        <v xml:space="preserve">          6002 - STAFF SALARIES</v>
      </c>
      <c r="C43" s="11"/>
      <c r="D43" s="7">
        <v>15262.950000000003</v>
      </c>
      <c r="E43" s="2"/>
      <c r="F43" s="6">
        <f t="shared" si="13"/>
        <v>3.4362005578806833</v>
      </c>
      <c r="G43" s="2"/>
      <c r="H43" s="7">
        <v>10197.5085615385</v>
      </c>
      <c r="I43" s="2"/>
      <c r="J43" s="6">
        <f t="shared" si="14"/>
        <v>0.20811241962323468</v>
      </c>
      <c r="K43" s="2"/>
      <c r="L43" s="7">
        <f t="shared" si="15"/>
        <v>5065.4414384615029</v>
      </c>
      <c r="M43" s="2"/>
      <c r="N43" s="6">
        <f t="shared" si="16"/>
        <v>0.49673323713270595</v>
      </c>
      <c r="O43" s="11"/>
      <c r="P43" s="7">
        <v>118009.37999999999</v>
      </c>
      <c r="Q43" s="2"/>
      <c r="R43" s="6">
        <f t="shared" si="17"/>
        <v>1.0841664291030346</v>
      </c>
      <c r="S43" s="2"/>
      <c r="T43" s="7">
        <v>89228.199913461809</v>
      </c>
      <c r="U43" s="2"/>
      <c r="V43" s="6">
        <f t="shared" si="18"/>
        <v>0.32304127580331776</v>
      </c>
      <c r="W43" s="2"/>
      <c r="X43" s="7">
        <f t="shared" si="19"/>
        <v>28781.180086538181</v>
      </c>
      <c r="Y43" s="2"/>
      <c r="Z43" s="6">
        <f t="shared" si="20"/>
        <v>0.32255699559614204</v>
      </c>
    </row>
    <row r="44" spans="1:26" s="24" customFormat="1" hidden="1" outlineLevel="2" x14ac:dyDescent="0.25">
      <c r="A44" s="27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7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13"/>
        <v>0</v>
      </c>
      <c r="G45" s="2"/>
      <c r="H45" s="7">
        <v>0</v>
      </c>
      <c r="I45" s="2"/>
      <c r="J45" s="6">
        <f t="shared" si="14"/>
        <v>0</v>
      </c>
      <c r="K45" s="2"/>
      <c r="L45" s="7">
        <f t="shared" si="15"/>
        <v>0</v>
      </c>
      <c r="M45" s="2"/>
      <c r="N45" s="6">
        <f t="shared" si="16"/>
        <v>0</v>
      </c>
      <c r="O45" s="11"/>
      <c r="P45" s="7"/>
      <c r="Q45" s="2"/>
      <c r="R45" s="6">
        <f t="shared" si="17"/>
        <v>0</v>
      </c>
      <c r="S45" s="2"/>
      <c r="T45" s="7">
        <v>0</v>
      </c>
      <c r="U45" s="2"/>
      <c r="V45" s="6">
        <f t="shared" si="18"/>
        <v>0</v>
      </c>
      <c r="W45" s="2"/>
      <c r="X45" s="7">
        <f t="shared" si="19"/>
        <v>0</v>
      </c>
      <c r="Y45" s="2"/>
      <c r="Z45" s="6">
        <f t="shared" si="20"/>
        <v>0</v>
      </c>
    </row>
    <row r="46" spans="1:26" s="24" customFormat="1" hidden="1" outlineLevel="2" x14ac:dyDescent="0.25">
      <c r="A46" s="27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13"/>
        <v>0</v>
      </c>
      <c r="G46" s="2"/>
      <c r="H46" s="7">
        <v>0</v>
      </c>
      <c r="I46" s="2"/>
      <c r="J46" s="6">
        <f t="shared" si="14"/>
        <v>0</v>
      </c>
      <c r="K46" s="2"/>
      <c r="L46" s="7">
        <f t="shared" si="15"/>
        <v>0</v>
      </c>
      <c r="M46" s="2"/>
      <c r="N46" s="6">
        <f t="shared" si="16"/>
        <v>0</v>
      </c>
      <c r="O46" s="11"/>
      <c r="P46" s="7">
        <v>383.25</v>
      </c>
      <c r="Q46" s="2"/>
      <c r="R46" s="6">
        <f t="shared" si="17"/>
        <v>3.5209640450084398E-3</v>
      </c>
      <c r="S46" s="2"/>
      <c r="T46" s="7">
        <v>0</v>
      </c>
      <c r="U46" s="2"/>
      <c r="V46" s="6">
        <f t="shared" si="18"/>
        <v>0</v>
      </c>
      <c r="W46" s="2"/>
      <c r="X46" s="7">
        <f t="shared" si="19"/>
        <v>383.25</v>
      </c>
      <c r="Y46" s="2"/>
      <c r="Z46" s="6">
        <f t="shared" si="20"/>
        <v>0</v>
      </c>
    </row>
    <row r="47" spans="1:26" s="24" customFormat="1" hidden="1" outlineLevel="2" x14ac:dyDescent="0.25">
      <c r="A47" s="27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13"/>
        <v>0</v>
      </c>
      <c r="G47" s="2"/>
      <c r="H47" s="7">
        <v>0</v>
      </c>
      <c r="I47" s="2"/>
      <c r="J47" s="6">
        <f t="shared" si="14"/>
        <v>0</v>
      </c>
      <c r="K47" s="2"/>
      <c r="L47" s="7">
        <f t="shared" si="15"/>
        <v>0</v>
      </c>
      <c r="M47" s="2"/>
      <c r="N47" s="6">
        <f t="shared" si="16"/>
        <v>0</v>
      </c>
      <c r="O47" s="11"/>
      <c r="P47" s="7"/>
      <c r="Q47" s="2"/>
      <c r="R47" s="6">
        <f t="shared" si="17"/>
        <v>0</v>
      </c>
      <c r="S47" s="2"/>
      <c r="T47" s="7">
        <v>0</v>
      </c>
      <c r="U47" s="2"/>
      <c r="V47" s="6">
        <f t="shared" si="18"/>
        <v>0</v>
      </c>
      <c r="W47" s="2"/>
      <c r="X47" s="7">
        <f t="shared" si="19"/>
        <v>0</v>
      </c>
      <c r="Y47" s="2"/>
      <c r="Z47" s="6">
        <f t="shared" si="20"/>
        <v>0</v>
      </c>
    </row>
    <row r="48" spans="1:26" s="24" customFormat="1" hidden="1" outlineLevel="2" x14ac:dyDescent="0.25">
      <c r="A48" s="27"/>
      <c r="B48" s="11" t="str">
        <f>CONCATENATE("          ", "6007", " - ", "STUDENT HOURLY")</f>
        <v xml:space="preserve">          6007 - STUDENT HOURLY</v>
      </c>
      <c r="C48" s="11"/>
      <c r="D48" s="7">
        <v>481.72</v>
      </c>
      <c r="E48" s="2"/>
      <c r="F48" s="6">
        <f t="shared" si="13"/>
        <v>0.10845128449888669</v>
      </c>
      <c r="G48" s="2"/>
      <c r="H48" s="7">
        <v>0</v>
      </c>
      <c r="I48" s="2"/>
      <c r="J48" s="6">
        <f t="shared" si="14"/>
        <v>0</v>
      </c>
      <c r="K48" s="2"/>
      <c r="L48" s="7">
        <f t="shared" si="15"/>
        <v>481.72</v>
      </c>
      <c r="M48" s="2"/>
      <c r="N48" s="6">
        <f t="shared" si="16"/>
        <v>0</v>
      </c>
      <c r="O48" s="11"/>
      <c r="P48" s="7">
        <v>5455.61</v>
      </c>
      <c r="Q48" s="2"/>
      <c r="R48" s="6">
        <f t="shared" si="17"/>
        <v>5.0121348085031943E-2</v>
      </c>
      <c r="S48" s="2"/>
      <c r="T48" s="7">
        <v>0</v>
      </c>
      <c r="U48" s="2"/>
      <c r="V48" s="6">
        <f t="shared" si="18"/>
        <v>0</v>
      </c>
      <c r="W48" s="2"/>
      <c r="X48" s="7">
        <f t="shared" si="19"/>
        <v>5455.61</v>
      </c>
      <c r="Y48" s="2"/>
      <c r="Z48" s="6">
        <f t="shared" si="20"/>
        <v>0</v>
      </c>
    </row>
    <row r="49" spans="1:26" s="24" customFormat="1" hidden="1" outlineLevel="2" x14ac:dyDescent="0.25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13"/>
        <v>0</v>
      </c>
      <c r="G49" s="2"/>
      <c r="H49" s="7">
        <v>0</v>
      </c>
      <c r="I49" s="2"/>
      <c r="J49" s="6">
        <f t="shared" si="14"/>
        <v>0</v>
      </c>
      <c r="K49" s="2"/>
      <c r="L49" s="7">
        <f t="shared" si="15"/>
        <v>0</v>
      </c>
      <c r="M49" s="2"/>
      <c r="N49" s="6">
        <f t="shared" si="16"/>
        <v>0</v>
      </c>
      <c r="O49" s="11"/>
      <c r="P49" s="7"/>
      <c r="Q49" s="2"/>
      <c r="R49" s="6">
        <f t="shared" si="17"/>
        <v>0</v>
      </c>
      <c r="S49" s="2"/>
      <c r="T49" s="7">
        <v>0</v>
      </c>
      <c r="U49" s="2"/>
      <c r="V49" s="6">
        <f t="shared" si="18"/>
        <v>0</v>
      </c>
      <c r="W49" s="2"/>
      <c r="X49" s="7">
        <f t="shared" si="19"/>
        <v>0</v>
      </c>
      <c r="Y49" s="2"/>
      <c r="Z49" s="6">
        <f t="shared" si="20"/>
        <v>0</v>
      </c>
    </row>
    <row r="50" spans="1:26" s="24" customFormat="1" hidden="1" outlineLevel="2" x14ac:dyDescent="0.25">
      <c r="A50" s="27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13"/>
        <v>0</v>
      </c>
      <c r="G50" s="2"/>
      <c r="H50" s="7">
        <v>0</v>
      </c>
      <c r="I50" s="2"/>
      <c r="J50" s="6">
        <f t="shared" si="14"/>
        <v>0</v>
      </c>
      <c r="K50" s="2"/>
      <c r="L50" s="7">
        <f t="shared" si="15"/>
        <v>0</v>
      </c>
      <c r="M50" s="2"/>
      <c r="N50" s="6">
        <f t="shared" si="16"/>
        <v>0</v>
      </c>
      <c r="O50" s="11"/>
      <c r="P50" s="7"/>
      <c r="Q50" s="2"/>
      <c r="R50" s="6">
        <f t="shared" si="17"/>
        <v>0</v>
      </c>
      <c r="S50" s="2"/>
      <c r="T50" s="7">
        <v>0</v>
      </c>
      <c r="U50" s="2"/>
      <c r="V50" s="6">
        <f t="shared" si="18"/>
        <v>0</v>
      </c>
      <c r="W50" s="2"/>
      <c r="X50" s="7">
        <f t="shared" si="19"/>
        <v>0</v>
      </c>
      <c r="Y50" s="2"/>
      <c r="Z50" s="6">
        <f t="shared" si="20"/>
        <v>0</v>
      </c>
    </row>
    <row r="51" spans="1:26" s="24" customFormat="1" hidden="1" outlineLevel="2" x14ac:dyDescent="0.25">
      <c r="A51" s="27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13"/>
        <v>0</v>
      </c>
      <c r="G51" s="2"/>
      <c r="H51" s="7">
        <v>0</v>
      </c>
      <c r="I51" s="2"/>
      <c r="J51" s="6">
        <f t="shared" si="14"/>
        <v>0</v>
      </c>
      <c r="K51" s="2"/>
      <c r="L51" s="7">
        <f t="shared" si="15"/>
        <v>0</v>
      </c>
      <c r="M51" s="2"/>
      <c r="N51" s="6">
        <f t="shared" si="16"/>
        <v>0</v>
      </c>
      <c r="O51" s="11"/>
      <c r="P51" s="7"/>
      <c r="Q51" s="2"/>
      <c r="R51" s="6">
        <f t="shared" si="17"/>
        <v>0</v>
      </c>
      <c r="S51" s="2"/>
      <c r="T51" s="7">
        <v>0</v>
      </c>
      <c r="U51" s="2"/>
      <c r="V51" s="6">
        <f t="shared" si="18"/>
        <v>0</v>
      </c>
      <c r="W51" s="2"/>
      <c r="X51" s="7">
        <f t="shared" si="19"/>
        <v>0</v>
      </c>
      <c r="Y51" s="2"/>
      <c r="Z51" s="6">
        <f t="shared" si="20"/>
        <v>0</v>
      </c>
    </row>
    <row r="52" spans="1:26" s="28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0</v>
      </c>
      <c r="E52" s="1"/>
      <c r="F52" s="5">
        <f t="shared" ref="F52:F62" si="21">IF(D$12=0,0,D52/D$12)</f>
        <v>0</v>
      </c>
      <c r="G52" s="1"/>
      <c r="H52" s="1">
        <f>SUM(OSRRefH22_2x_0)</f>
        <v>50</v>
      </c>
      <c r="I52" s="1"/>
      <c r="J52" s="5">
        <f t="shared" ref="J52:J62" si="22">IF(H$12=0,0,H52/H$12)</f>
        <v>1.0204081632653062E-3</v>
      </c>
      <c r="K52" s="1"/>
      <c r="L52" s="1">
        <f t="shared" ref="L52:L62" si="23">+D52-H52</f>
        <v>-50</v>
      </c>
      <c r="M52" s="1"/>
      <c r="N52" s="5">
        <f t="shared" ref="N52:N62" si="24">IF(H52=0,0,L52/H52)</f>
        <v>-1</v>
      </c>
      <c r="O52" s="14"/>
      <c r="P52" s="1">
        <f>SUM(OSRRefP22_2x_0)</f>
        <v>0</v>
      </c>
      <c r="Q52" s="1"/>
      <c r="R52" s="5">
        <f t="shared" ref="R52:R62" si="25">IF(P$12=0,0,P52/P$12)</f>
        <v>0</v>
      </c>
      <c r="S52" s="1"/>
      <c r="T52" s="1">
        <f>SUM(OSRRefT22_2x_0)</f>
        <v>400</v>
      </c>
      <c r="U52" s="1"/>
      <c r="V52" s="5">
        <f t="shared" ref="V52:V62" si="26">IF(T$12=0,0,T52/T$12)</f>
        <v>1.4481577623066256E-3</v>
      </c>
      <c r="W52" s="1"/>
      <c r="X52" s="1">
        <f t="shared" ref="X52:X62" si="27">+P52-T52</f>
        <v>-400</v>
      </c>
      <c r="Y52" s="1"/>
      <c r="Z52" s="5">
        <f t="shared" ref="Z52:Z62" si="28">IF(T52=0,0,X52/T52)</f>
        <v>-1</v>
      </c>
    </row>
    <row r="53" spans="1:26" s="24" customFormat="1" hidden="1" outlineLevel="2" x14ac:dyDescent="0.25">
      <c r="A53" s="27"/>
      <c r="B53" s="11" t="str">
        <f>CONCATENATE("          ", "6362", " - ", "ADVERTISING EXPENSE")</f>
        <v xml:space="preserve">          6362 - ADVERTISING EXPENSE</v>
      </c>
      <c r="C53" s="11"/>
      <c r="D53" s="7"/>
      <c r="E53" s="2"/>
      <c r="F53" s="6">
        <f t="shared" si="21"/>
        <v>0</v>
      </c>
      <c r="G53" s="2"/>
      <c r="H53" s="7">
        <v>50</v>
      </c>
      <c r="I53" s="2"/>
      <c r="J53" s="6">
        <f t="shared" si="22"/>
        <v>1.0204081632653062E-3</v>
      </c>
      <c r="K53" s="2"/>
      <c r="L53" s="7">
        <f t="shared" si="23"/>
        <v>-50</v>
      </c>
      <c r="M53" s="2"/>
      <c r="N53" s="6">
        <f t="shared" si="24"/>
        <v>-1</v>
      </c>
      <c r="O53" s="11"/>
      <c r="P53" s="7"/>
      <c r="Q53" s="2"/>
      <c r="R53" s="6">
        <f t="shared" si="25"/>
        <v>0</v>
      </c>
      <c r="S53" s="2"/>
      <c r="T53" s="7">
        <v>400</v>
      </c>
      <c r="U53" s="2"/>
      <c r="V53" s="6">
        <f t="shared" si="26"/>
        <v>1.4481577623066256E-3</v>
      </c>
      <c r="W53" s="2"/>
      <c r="X53" s="7">
        <f t="shared" si="27"/>
        <v>-400</v>
      </c>
      <c r="Y53" s="2"/>
      <c r="Z53" s="6">
        <f t="shared" si="28"/>
        <v>-1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SUM(OSRRefD22_3x_0)</f>
        <v>169.88</v>
      </c>
      <c r="E54" s="1"/>
      <c r="F54" s="5">
        <f t="shared" si="21"/>
        <v>3.8245670120964192E-2</v>
      </c>
      <c r="G54" s="1"/>
      <c r="H54" s="1">
        <f>SUM(OSRRefH22_3x_0)</f>
        <v>170</v>
      </c>
      <c r="I54" s="1"/>
      <c r="J54" s="5">
        <f t="shared" si="22"/>
        <v>3.4693877551020408E-3</v>
      </c>
      <c r="K54" s="1"/>
      <c r="L54" s="1">
        <f t="shared" si="23"/>
        <v>-0.12000000000000455</v>
      </c>
      <c r="M54" s="1"/>
      <c r="N54" s="5">
        <f t="shared" si="24"/>
        <v>-7.0588235294120319E-4</v>
      </c>
      <c r="O54" s="14"/>
      <c r="P54" s="1">
        <f>SUM(OSRRefP22_3x_0)</f>
        <v>1359.04</v>
      </c>
      <c r="Q54" s="1"/>
      <c r="R54" s="5">
        <f t="shared" si="25"/>
        <v>1.248566464638818E-2</v>
      </c>
      <c r="S54" s="1"/>
      <c r="T54" s="1">
        <f>SUM(OSRRefT22_3x_0)</f>
        <v>1360</v>
      </c>
      <c r="U54" s="1"/>
      <c r="V54" s="5">
        <f t="shared" si="26"/>
        <v>4.9237363918425269E-3</v>
      </c>
      <c r="W54" s="1"/>
      <c r="X54" s="1">
        <f t="shared" si="27"/>
        <v>-0.96000000000003638</v>
      </c>
      <c r="Y54" s="1"/>
      <c r="Z54" s="5">
        <f t="shared" si="28"/>
        <v>-7.0588235294120319E-4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169.88</v>
      </c>
      <c r="E55" s="2"/>
      <c r="F55" s="6">
        <f t="shared" si="21"/>
        <v>3.8245670120964192E-2</v>
      </c>
      <c r="G55" s="2"/>
      <c r="H55" s="7">
        <v>170</v>
      </c>
      <c r="I55" s="2"/>
      <c r="J55" s="6">
        <f t="shared" si="22"/>
        <v>3.4693877551020408E-3</v>
      </c>
      <c r="K55" s="2"/>
      <c r="L55" s="7">
        <f t="shared" si="23"/>
        <v>-0.12000000000000455</v>
      </c>
      <c r="M55" s="2"/>
      <c r="N55" s="6">
        <f t="shared" si="24"/>
        <v>-7.0588235294120319E-4</v>
      </c>
      <c r="O55" s="11"/>
      <c r="P55" s="7">
        <v>1359.04</v>
      </c>
      <c r="Q55" s="2"/>
      <c r="R55" s="6">
        <f t="shared" si="25"/>
        <v>1.248566464638818E-2</v>
      </c>
      <c r="S55" s="2"/>
      <c r="T55" s="7">
        <v>1360</v>
      </c>
      <c r="U55" s="2"/>
      <c r="V55" s="6">
        <f t="shared" si="26"/>
        <v>4.9237363918425269E-3</v>
      </c>
      <c r="W55" s="2"/>
      <c r="X55" s="7">
        <f t="shared" si="27"/>
        <v>-0.96000000000003638</v>
      </c>
      <c r="Y55" s="2"/>
      <c r="Z55" s="6">
        <f t="shared" si="28"/>
        <v>-7.0588235294120319E-4</v>
      </c>
    </row>
    <row r="56" spans="1:26" s="28" customFormat="1" outlineLevel="1" collapsed="1" x14ac:dyDescent="0.25">
      <c r="A56" s="29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SUM(OSRRefD22_4x_0)</f>
        <v>0</v>
      </c>
      <c r="E56" s="1"/>
      <c r="F56" s="5">
        <f t="shared" si="21"/>
        <v>0</v>
      </c>
      <c r="G56" s="1"/>
      <c r="H56" s="1">
        <f>SUM(OSRRefH22_4x_0)</f>
        <v>50</v>
      </c>
      <c r="I56" s="1"/>
      <c r="J56" s="5">
        <f t="shared" si="22"/>
        <v>1.0204081632653062E-3</v>
      </c>
      <c r="K56" s="1"/>
      <c r="L56" s="1">
        <f t="shared" si="23"/>
        <v>-50</v>
      </c>
      <c r="M56" s="1"/>
      <c r="N56" s="5">
        <f t="shared" si="24"/>
        <v>-1</v>
      </c>
      <c r="O56" s="14"/>
      <c r="P56" s="1">
        <f>SUM(OSRRefP22_4x_0)</f>
        <v>0</v>
      </c>
      <c r="Q56" s="1"/>
      <c r="R56" s="5">
        <f t="shared" si="25"/>
        <v>0</v>
      </c>
      <c r="S56" s="1"/>
      <c r="T56" s="1">
        <f>SUM(OSRRefT22_4x_0)</f>
        <v>400</v>
      </c>
      <c r="U56" s="1"/>
      <c r="V56" s="5">
        <f t="shared" si="26"/>
        <v>1.4481577623066256E-3</v>
      </c>
      <c r="W56" s="1"/>
      <c r="X56" s="1">
        <f t="shared" si="27"/>
        <v>-400</v>
      </c>
      <c r="Y56" s="1"/>
      <c r="Z56" s="5">
        <f t="shared" si="28"/>
        <v>-1</v>
      </c>
    </row>
    <row r="57" spans="1:26" s="24" customFormat="1" hidden="1" outlineLevel="2" x14ac:dyDescent="0.25">
      <c r="A57" s="27"/>
      <c r="B57" s="11" t="str">
        <f>CONCATENATE("          ", "6382", " - ", "DISCOUNTS/MARK DOWNS")</f>
        <v xml:space="preserve">          6382 - DISCOUNTS/MARK DOWNS</v>
      </c>
      <c r="C57" s="11"/>
      <c r="D57" s="7"/>
      <c r="E57" s="2"/>
      <c r="F57" s="6">
        <f t="shared" si="21"/>
        <v>0</v>
      </c>
      <c r="G57" s="2"/>
      <c r="H57" s="7">
        <v>50</v>
      </c>
      <c r="I57" s="2"/>
      <c r="J57" s="6">
        <f t="shared" si="22"/>
        <v>1.0204081632653062E-3</v>
      </c>
      <c r="K57" s="2"/>
      <c r="L57" s="7">
        <f t="shared" si="23"/>
        <v>-50</v>
      </c>
      <c r="M57" s="2"/>
      <c r="N57" s="6">
        <f t="shared" si="24"/>
        <v>-1</v>
      </c>
      <c r="O57" s="11"/>
      <c r="P57" s="7"/>
      <c r="Q57" s="2"/>
      <c r="R57" s="6">
        <f t="shared" si="25"/>
        <v>0</v>
      </c>
      <c r="S57" s="2"/>
      <c r="T57" s="7">
        <v>400</v>
      </c>
      <c r="U57" s="2"/>
      <c r="V57" s="6">
        <f t="shared" si="26"/>
        <v>1.4481577623066256E-3</v>
      </c>
      <c r="W57" s="2"/>
      <c r="X57" s="7">
        <f t="shared" si="27"/>
        <v>-400</v>
      </c>
      <c r="Y57" s="2"/>
      <c r="Z57" s="6">
        <f t="shared" si="28"/>
        <v>-1</v>
      </c>
    </row>
    <row r="58" spans="1:26" s="28" customFormat="1" outlineLevel="1" collapsed="1" x14ac:dyDescent="0.25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SUM(OSRRefD22_5x_0)</f>
        <v>1205.6400000000001</v>
      </c>
      <c r="E58" s="1"/>
      <c r="F58" s="5">
        <f t="shared" si="21"/>
        <v>0.27142989006733736</v>
      </c>
      <c r="G58" s="1"/>
      <c r="H58" s="1">
        <f>SUM(OSRRefH22_5x_0)</f>
        <v>1206</v>
      </c>
      <c r="I58" s="1"/>
      <c r="J58" s="5">
        <f t="shared" si="22"/>
        <v>2.4612244897959185E-2</v>
      </c>
      <c r="K58" s="1"/>
      <c r="L58" s="1">
        <f t="shared" si="23"/>
        <v>-0.35999999999989996</v>
      </c>
      <c r="M58" s="1"/>
      <c r="N58" s="5">
        <f t="shared" si="24"/>
        <v>-2.9850746268648423E-4</v>
      </c>
      <c r="O58" s="14"/>
      <c r="P58" s="1">
        <f>SUM(OSRRefP22_5x_0)</f>
        <v>9645.1200000000008</v>
      </c>
      <c r="Q58" s="1"/>
      <c r="R58" s="5">
        <f t="shared" si="25"/>
        <v>8.8610882530441762E-2</v>
      </c>
      <c r="S58" s="1"/>
      <c r="T58" s="1">
        <f>SUM(OSRRefT22_5x_0)</f>
        <v>9648</v>
      </c>
      <c r="U58" s="1"/>
      <c r="V58" s="5">
        <f t="shared" si="26"/>
        <v>3.492956522683581E-2</v>
      </c>
      <c r="W58" s="1"/>
      <c r="X58" s="1">
        <f t="shared" si="27"/>
        <v>-2.8799999999991996</v>
      </c>
      <c r="Y58" s="1"/>
      <c r="Z58" s="5">
        <f t="shared" si="28"/>
        <v>-2.9850746268648423E-4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1205.6400000000001</v>
      </c>
      <c r="E59" s="2"/>
      <c r="F59" s="6">
        <f t="shared" si="21"/>
        <v>0.27142989006733736</v>
      </c>
      <c r="G59" s="2"/>
      <c r="H59" s="7">
        <v>1206</v>
      </c>
      <c r="I59" s="2"/>
      <c r="J59" s="6">
        <f t="shared" si="22"/>
        <v>2.4612244897959185E-2</v>
      </c>
      <c r="K59" s="2"/>
      <c r="L59" s="7">
        <f t="shared" si="23"/>
        <v>-0.35999999999989996</v>
      </c>
      <c r="M59" s="2"/>
      <c r="N59" s="6">
        <f t="shared" si="24"/>
        <v>-2.9850746268648423E-4</v>
      </c>
      <c r="O59" s="11"/>
      <c r="P59" s="7">
        <v>9645.1200000000008</v>
      </c>
      <c r="Q59" s="2"/>
      <c r="R59" s="6">
        <f t="shared" si="25"/>
        <v>8.8610882530441762E-2</v>
      </c>
      <c r="S59" s="2"/>
      <c r="T59" s="7">
        <v>9648</v>
      </c>
      <c r="U59" s="2"/>
      <c r="V59" s="6">
        <f t="shared" si="26"/>
        <v>3.492956522683581E-2</v>
      </c>
      <c r="W59" s="2"/>
      <c r="X59" s="7">
        <f t="shared" si="27"/>
        <v>-2.8799999999991996</v>
      </c>
      <c r="Y59" s="2"/>
      <c r="Z59" s="6">
        <f t="shared" si="28"/>
        <v>-2.9850746268648423E-4</v>
      </c>
    </row>
    <row r="60" spans="1:26" s="28" customFormat="1" outlineLevel="1" collapsed="1" x14ac:dyDescent="0.25">
      <c r="A60" s="29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SUM(OSRRefD22_6x_0)</f>
        <v>2803.1500000000015</v>
      </c>
      <c r="E60" s="1"/>
      <c r="F60" s="5">
        <f t="shared" si="21"/>
        <v>0.6310828243441301</v>
      </c>
      <c r="G60" s="1"/>
      <c r="H60" s="1">
        <f>SUM(OSRRefH22_6x_0)</f>
        <v>3000</v>
      </c>
      <c r="I60" s="1"/>
      <c r="J60" s="5">
        <f t="shared" si="22"/>
        <v>6.1224489795918366E-2</v>
      </c>
      <c r="K60" s="1"/>
      <c r="L60" s="1">
        <f t="shared" si="23"/>
        <v>-196.84999999999854</v>
      </c>
      <c r="M60" s="1"/>
      <c r="N60" s="5">
        <f t="shared" si="24"/>
        <v>-6.5616666666666185E-2</v>
      </c>
      <c r="O60" s="14"/>
      <c r="P60" s="1">
        <f>SUM(OSRRefP22_6x_0)</f>
        <v>-45422.41</v>
      </c>
      <c r="Q60" s="1"/>
      <c r="R60" s="5">
        <f t="shared" si="25"/>
        <v>-0.41730116750849788</v>
      </c>
      <c r="S60" s="1"/>
      <c r="T60" s="1">
        <f>SUM(OSRRefT22_6x_0)</f>
        <v>28510</v>
      </c>
      <c r="U60" s="1"/>
      <c r="V60" s="5">
        <f t="shared" si="26"/>
        <v>0.10321744450840474</v>
      </c>
      <c r="W60" s="1"/>
      <c r="X60" s="1">
        <f t="shared" si="27"/>
        <v>-73932.41</v>
      </c>
      <c r="Y60" s="1"/>
      <c r="Z60" s="5">
        <f t="shared" si="28"/>
        <v>-2.593209750964574</v>
      </c>
    </row>
    <row r="61" spans="1:26" s="24" customFormat="1" hidden="1" outlineLevel="2" x14ac:dyDescent="0.25">
      <c r="A61" s="27"/>
      <c r="B61" s="11" t="str">
        <f>CONCATENATE("          ", "6305", " - ", "FREIGHT OUT")</f>
        <v xml:space="preserve">          6305 - FREIGHT OUT</v>
      </c>
      <c r="C61" s="11"/>
      <c r="D61" s="7">
        <v>24817.48</v>
      </c>
      <c r="E61" s="2"/>
      <c r="F61" s="6">
        <f t="shared" si="21"/>
        <v>5.5872448393785401</v>
      </c>
      <c r="G61" s="2"/>
      <c r="H61" s="7">
        <v>8700</v>
      </c>
      <c r="I61" s="2"/>
      <c r="J61" s="6">
        <f t="shared" si="22"/>
        <v>0.17755102040816326</v>
      </c>
      <c r="K61" s="2"/>
      <c r="L61" s="7">
        <f t="shared" si="23"/>
        <v>16117.48</v>
      </c>
      <c r="M61" s="2"/>
      <c r="N61" s="6">
        <f t="shared" si="24"/>
        <v>1.8525839080459769</v>
      </c>
      <c r="O61" s="11"/>
      <c r="P61" s="7">
        <v>150896.71</v>
      </c>
      <c r="Q61" s="2"/>
      <c r="R61" s="6">
        <f t="shared" si="25"/>
        <v>1.3863063024659241</v>
      </c>
      <c r="S61" s="2"/>
      <c r="T61" s="7">
        <v>30960</v>
      </c>
      <c r="U61" s="2"/>
      <c r="V61" s="6">
        <f t="shared" si="26"/>
        <v>0.11208741080253283</v>
      </c>
      <c r="W61" s="2"/>
      <c r="X61" s="7">
        <f t="shared" si="27"/>
        <v>119936.70999999999</v>
      </c>
      <c r="Y61" s="2"/>
      <c r="Z61" s="6">
        <f t="shared" si="28"/>
        <v>3.873924741602067</v>
      </c>
    </row>
    <row r="62" spans="1:26" s="24" customFormat="1" hidden="1" outlineLevel="2" x14ac:dyDescent="0.25">
      <c r="A62" s="27"/>
      <c r="B62" s="11" t="str">
        <f>CONCATENATE("          ", "6307", " - ", "POSTAGE")</f>
        <v xml:space="preserve">          6307 - POSTAGE</v>
      </c>
      <c r="C62" s="11"/>
      <c r="D62" s="7">
        <v>-22014.329999999998</v>
      </c>
      <c r="E62" s="2"/>
      <c r="F62" s="6">
        <f t="shared" si="21"/>
        <v>-4.9561620150344101</v>
      </c>
      <c r="G62" s="2"/>
      <c r="H62" s="7">
        <v>-5700</v>
      </c>
      <c r="I62" s="2"/>
      <c r="J62" s="6">
        <f t="shared" si="22"/>
        <v>-0.11632653061224489</v>
      </c>
      <c r="K62" s="2"/>
      <c r="L62" s="7">
        <f t="shared" si="23"/>
        <v>-16314.329999999998</v>
      </c>
      <c r="M62" s="2"/>
      <c r="N62" s="6">
        <f t="shared" si="24"/>
        <v>2.8621631578947366</v>
      </c>
      <c r="O62" s="11"/>
      <c r="P62" s="7">
        <v>-196319.12</v>
      </c>
      <c r="Q62" s="2"/>
      <c r="R62" s="6">
        <f t="shared" si="25"/>
        <v>-1.803607469974422</v>
      </c>
      <c r="S62" s="2"/>
      <c r="T62" s="7">
        <v>-2450</v>
      </c>
      <c r="U62" s="2"/>
      <c r="V62" s="6">
        <f t="shared" si="26"/>
        <v>-8.869966294128083E-3</v>
      </c>
      <c r="W62" s="2"/>
      <c r="X62" s="7">
        <f t="shared" si="27"/>
        <v>-193869.12</v>
      </c>
      <c r="Y62" s="2"/>
      <c r="Z62" s="6">
        <f t="shared" si="28"/>
        <v>79.130253061224494</v>
      </c>
    </row>
    <row r="63" spans="1:26" s="28" customFormat="1" outlineLevel="1" collapsed="1" x14ac:dyDescent="0.25">
      <c r="A63" s="29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SUM(OSRRefD22_7x_0)</f>
        <v>472.97</v>
      </c>
      <c r="E63" s="1"/>
      <c r="F63" s="5">
        <f t="shared" ref="F63:F65" si="29">IF(D$12=0,0,D63/D$12)</f>
        <v>0.10648136683018856</v>
      </c>
      <c r="G63" s="1"/>
      <c r="H63" s="1">
        <f>SUM(OSRRefH22_7x_0)</f>
        <v>5000</v>
      </c>
      <c r="I63" s="1"/>
      <c r="J63" s="5">
        <f t="shared" ref="J63:J65" si="30">IF(H$12=0,0,H63/H$12)</f>
        <v>0.10204081632653061</v>
      </c>
      <c r="K63" s="1"/>
      <c r="L63" s="1">
        <f t="shared" ref="L63:L65" si="31">+D63-H63</f>
        <v>-4527.03</v>
      </c>
      <c r="M63" s="1"/>
      <c r="N63" s="5">
        <f t="shared" ref="N63:N65" si="32">IF(H63=0,0,L63/H63)</f>
        <v>-0.90540599999999993</v>
      </c>
      <c r="O63" s="14"/>
      <c r="P63" s="1">
        <f>SUM(OSRRefP22_7x_0)</f>
        <v>30905.56</v>
      </c>
      <c r="Q63" s="1"/>
      <c r="R63" s="5">
        <f t="shared" ref="R63:R65" si="33">IF(P$12=0,0,P63/P$12)</f>
        <v>0.28393311298330343</v>
      </c>
      <c r="S63" s="1"/>
      <c r="T63" s="1">
        <f>SUM(OSRRefT22_7x_0)</f>
        <v>40400</v>
      </c>
      <c r="U63" s="1"/>
      <c r="V63" s="5">
        <f t="shared" ref="V63:V65" si="34">IF(T$12=0,0,T63/T$12)</f>
        <v>0.14626393399296919</v>
      </c>
      <c r="W63" s="1"/>
      <c r="X63" s="1">
        <f t="shared" ref="X63:X65" si="35">+P63-T63</f>
        <v>-9494.4399999999987</v>
      </c>
      <c r="Y63" s="1"/>
      <c r="Z63" s="5">
        <f t="shared" ref="Z63:Z65" si="36">IF(T63=0,0,X63/T63)</f>
        <v>-0.23501089108910889</v>
      </c>
    </row>
    <row r="64" spans="1:26" s="24" customFormat="1" hidden="1" outlineLevel="2" x14ac:dyDescent="0.25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29"/>
        <v>0</v>
      </c>
      <c r="G64" s="2"/>
      <c r="H64" s="7"/>
      <c r="I64" s="2"/>
      <c r="J64" s="6">
        <f t="shared" si="30"/>
        <v>0</v>
      </c>
      <c r="K64" s="2"/>
      <c r="L64" s="7">
        <f t="shared" si="31"/>
        <v>0</v>
      </c>
      <c r="M64" s="2"/>
      <c r="N64" s="6">
        <f t="shared" si="32"/>
        <v>0</v>
      </c>
      <c r="O64" s="11"/>
      <c r="P64" s="7">
        <v>7.69</v>
      </c>
      <c r="Q64" s="2"/>
      <c r="R64" s="6">
        <f t="shared" si="33"/>
        <v>7.0648958920064981E-5</v>
      </c>
      <c r="S64" s="2"/>
      <c r="T64" s="7"/>
      <c r="U64" s="2"/>
      <c r="V64" s="6">
        <f t="shared" si="34"/>
        <v>0</v>
      </c>
      <c r="W64" s="2"/>
      <c r="X64" s="7">
        <f t="shared" si="35"/>
        <v>7.69</v>
      </c>
      <c r="Y64" s="2"/>
      <c r="Z64" s="6">
        <f t="shared" si="36"/>
        <v>0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7">
        <v>472.97</v>
      </c>
      <c r="E65" s="2"/>
      <c r="F65" s="6">
        <f t="shared" si="29"/>
        <v>0.10648136683018856</v>
      </c>
      <c r="G65" s="2"/>
      <c r="H65" s="7">
        <v>5000</v>
      </c>
      <c r="I65" s="2"/>
      <c r="J65" s="6">
        <f t="shared" si="30"/>
        <v>0.10204081632653061</v>
      </c>
      <c r="K65" s="2"/>
      <c r="L65" s="7">
        <f t="shared" si="31"/>
        <v>-4527.03</v>
      </c>
      <c r="M65" s="2"/>
      <c r="N65" s="6">
        <f t="shared" si="32"/>
        <v>-0.90540599999999993</v>
      </c>
      <c r="O65" s="11"/>
      <c r="P65" s="7">
        <v>30897.870000000003</v>
      </c>
      <c r="Q65" s="2"/>
      <c r="R65" s="6">
        <f t="shared" si="33"/>
        <v>0.28386246402438337</v>
      </c>
      <c r="S65" s="2"/>
      <c r="T65" s="7">
        <v>40400</v>
      </c>
      <c r="U65" s="2"/>
      <c r="V65" s="6">
        <f t="shared" si="34"/>
        <v>0.14626393399296919</v>
      </c>
      <c r="W65" s="2"/>
      <c r="X65" s="7">
        <f t="shared" si="35"/>
        <v>-9502.1299999999974</v>
      </c>
      <c r="Y65" s="2"/>
      <c r="Z65" s="6">
        <f t="shared" si="36"/>
        <v>-0.2352012376237623</v>
      </c>
    </row>
    <row r="66" spans="1:26" s="28" customFormat="1" outlineLevel="1" collapsed="1" x14ac:dyDescent="0.25">
      <c r="A66" s="29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1">
        <f>SUM(OSRRefD22_8x_0)</f>
        <v>468.34</v>
      </c>
      <c r="E66" s="1"/>
      <c r="F66" s="5">
        <f t="shared" ref="F66:F73" si="37">IF(D$12=0,0,D66/D$12)</f>
        <v>0.10543899896663744</v>
      </c>
      <c r="G66" s="1"/>
      <c r="H66" s="1">
        <f>SUM(OSRRefH22_8x_0)</f>
        <v>9300</v>
      </c>
      <c r="I66" s="1"/>
      <c r="J66" s="5">
        <f t="shared" ref="J66:J73" si="38">IF(H$12=0,0,H66/H$12)</f>
        <v>0.18979591836734694</v>
      </c>
      <c r="K66" s="1"/>
      <c r="L66" s="1">
        <f t="shared" ref="L66:L73" si="39">+D66-H66</f>
        <v>-8831.66</v>
      </c>
      <c r="M66" s="1"/>
      <c r="N66" s="5">
        <f t="shared" ref="N66:N73" si="40">IF(H66=0,0,L66/H66)</f>
        <v>-0.94964086021505378</v>
      </c>
      <c r="O66" s="14"/>
      <c r="P66" s="1">
        <f>SUM(OSRRefP22_8x_0)</f>
        <v>10636.41</v>
      </c>
      <c r="Q66" s="1"/>
      <c r="R66" s="5">
        <f t="shared" ref="R66:R73" si="41">IF(P$12=0,0,P66/P$12)</f>
        <v>9.7717983504157127E-2</v>
      </c>
      <c r="S66" s="1"/>
      <c r="T66" s="1">
        <f>SUM(OSRRefT22_8x_0)</f>
        <v>19350</v>
      </c>
      <c r="U66" s="1"/>
      <c r="V66" s="5">
        <f t="shared" ref="V66:V73" si="42">IF(T$12=0,0,T66/T$12)</f>
        <v>7.0054631751583024E-2</v>
      </c>
      <c r="W66" s="1"/>
      <c r="X66" s="1">
        <f t="shared" ref="X66:X73" si="43">+P66-T66</f>
        <v>-8713.59</v>
      </c>
      <c r="Y66" s="1"/>
      <c r="Z66" s="5">
        <f t="shared" ref="Z66:Z73" si="44">IF(T66=0,0,X66/T66)</f>
        <v>-0.45031472868217054</v>
      </c>
    </row>
    <row r="67" spans="1:26" s="24" customFormat="1" hidden="1" outlineLevel="2" x14ac:dyDescent="0.25">
      <c r="A67" s="27"/>
      <c r="B67" s="11" t="str">
        <f>CONCATENATE("          ", "6259", " - ", "ROYALTY &amp; COMMISSIONS")</f>
        <v xml:space="preserve">          6259 - ROYALTY &amp; COMMISSIONS</v>
      </c>
      <c r="C67" s="11"/>
      <c r="D67" s="7">
        <v>468.34</v>
      </c>
      <c r="E67" s="2"/>
      <c r="F67" s="6">
        <f t="shared" si="37"/>
        <v>0.10543899896663744</v>
      </c>
      <c r="G67" s="2"/>
      <c r="H67" s="7">
        <v>9300</v>
      </c>
      <c r="I67" s="2"/>
      <c r="J67" s="6">
        <f t="shared" si="38"/>
        <v>0.18979591836734694</v>
      </c>
      <c r="K67" s="2"/>
      <c r="L67" s="7">
        <f t="shared" si="39"/>
        <v>-8831.66</v>
      </c>
      <c r="M67" s="2"/>
      <c r="N67" s="6">
        <f t="shared" si="40"/>
        <v>-0.94964086021505378</v>
      </c>
      <c r="O67" s="11"/>
      <c r="P67" s="7">
        <v>10636.41</v>
      </c>
      <c r="Q67" s="2"/>
      <c r="R67" s="6">
        <f t="shared" si="41"/>
        <v>9.7717983504157127E-2</v>
      </c>
      <c r="S67" s="2"/>
      <c r="T67" s="7">
        <v>19350</v>
      </c>
      <c r="U67" s="2"/>
      <c r="V67" s="6">
        <f t="shared" si="42"/>
        <v>7.0054631751583024E-2</v>
      </c>
      <c r="W67" s="2"/>
      <c r="X67" s="7">
        <f t="shared" si="43"/>
        <v>-8713.59</v>
      </c>
      <c r="Y67" s="2"/>
      <c r="Z67" s="6">
        <f t="shared" si="44"/>
        <v>-0.45031472868217054</v>
      </c>
    </row>
    <row r="68" spans="1:26" s="28" customFormat="1" outlineLevel="1" collapsed="1" x14ac:dyDescent="0.25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SUM(OSRRefD22_9x_0)</f>
        <v>-2156.8399999999997</v>
      </c>
      <c r="E68" s="1"/>
      <c r="F68" s="5">
        <f t="shared" si="37"/>
        <v>-0.48557682566341176</v>
      </c>
      <c r="G68" s="1"/>
      <c r="H68" s="1">
        <f>SUM(OSRRefH22_9x_0)</f>
        <v>800</v>
      </c>
      <c r="I68" s="1"/>
      <c r="J68" s="5">
        <f t="shared" si="38"/>
        <v>1.6326530612244899E-2</v>
      </c>
      <c r="K68" s="1"/>
      <c r="L68" s="1">
        <f t="shared" si="39"/>
        <v>-2956.8399999999997</v>
      </c>
      <c r="M68" s="1"/>
      <c r="N68" s="5">
        <f t="shared" si="40"/>
        <v>-3.6960499999999996</v>
      </c>
      <c r="O68" s="14"/>
      <c r="P68" s="1">
        <f>SUM(OSRRefP22_9x_0)</f>
        <v>29928.16</v>
      </c>
      <c r="Q68" s="1"/>
      <c r="R68" s="5">
        <f t="shared" si="41"/>
        <v>0.27495362111744237</v>
      </c>
      <c r="S68" s="1"/>
      <c r="T68" s="1">
        <f>SUM(OSRRefT22_9x_0)</f>
        <v>13650</v>
      </c>
      <c r="U68" s="1"/>
      <c r="V68" s="5">
        <f t="shared" si="42"/>
        <v>4.9418383638713599E-2</v>
      </c>
      <c r="W68" s="1"/>
      <c r="X68" s="1">
        <f t="shared" si="43"/>
        <v>16278.16</v>
      </c>
      <c r="Y68" s="1"/>
      <c r="Z68" s="5">
        <f t="shared" si="44"/>
        <v>1.1925391941391941</v>
      </c>
    </row>
    <row r="69" spans="1:26" s="24" customFormat="1" hidden="1" outlineLevel="2" x14ac:dyDescent="0.25">
      <c r="A69" s="27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310.91000000000003</v>
      </c>
      <c r="Q69" s="2"/>
      <c r="R69" s="6">
        <f t="shared" si="41"/>
        <v>2.8563677266368534E-3</v>
      </c>
      <c r="S69" s="2"/>
      <c r="T69" s="7"/>
      <c r="U69" s="2"/>
      <c r="V69" s="6">
        <f t="shared" si="42"/>
        <v>0</v>
      </c>
      <c r="W69" s="2"/>
      <c r="X69" s="7">
        <f t="shared" si="43"/>
        <v>310.91000000000003</v>
      </c>
      <c r="Y69" s="2"/>
      <c r="Z69" s="6">
        <f t="shared" si="44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>
        <v>7.71</v>
      </c>
      <c r="E70" s="2"/>
      <c r="F70" s="6">
        <f t="shared" si="37"/>
        <v>1.735778882932858E-3</v>
      </c>
      <c r="G70" s="2"/>
      <c r="H70" s="7"/>
      <c r="I70" s="2"/>
      <c r="J70" s="6">
        <f t="shared" si="38"/>
        <v>0</v>
      </c>
      <c r="K70" s="2"/>
      <c r="L70" s="7">
        <f t="shared" si="39"/>
        <v>7.71</v>
      </c>
      <c r="M70" s="2"/>
      <c r="N70" s="6">
        <f t="shared" si="40"/>
        <v>0</v>
      </c>
      <c r="O70" s="11"/>
      <c r="P70" s="7">
        <v>4604.57</v>
      </c>
      <c r="Q70" s="2"/>
      <c r="R70" s="6">
        <f t="shared" si="41"/>
        <v>4.2302740802934141E-2</v>
      </c>
      <c r="S70" s="2"/>
      <c r="T70" s="7"/>
      <c r="U70" s="2"/>
      <c r="V70" s="6">
        <f t="shared" si="42"/>
        <v>0</v>
      </c>
      <c r="W70" s="2"/>
      <c r="X70" s="7">
        <f t="shared" si="43"/>
        <v>4604.57</v>
      </c>
      <c r="Y70" s="2"/>
      <c r="Z70" s="6">
        <f t="shared" si="44"/>
        <v>0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37"/>
        <v>0</v>
      </c>
      <c r="G71" s="2"/>
      <c r="H71" s="7">
        <v>500</v>
      </c>
      <c r="I71" s="2"/>
      <c r="J71" s="6">
        <f t="shared" si="38"/>
        <v>1.020408163265306E-2</v>
      </c>
      <c r="K71" s="2"/>
      <c r="L71" s="7">
        <f t="shared" si="39"/>
        <v>-500</v>
      </c>
      <c r="M71" s="2"/>
      <c r="N71" s="6">
        <f t="shared" si="40"/>
        <v>-1</v>
      </c>
      <c r="O71" s="11"/>
      <c r="P71" s="7">
        <v>6173.4</v>
      </c>
      <c r="Q71" s="2"/>
      <c r="R71" s="6">
        <f t="shared" si="41"/>
        <v>5.6715771521083105E-2</v>
      </c>
      <c r="S71" s="2"/>
      <c r="T71" s="7">
        <v>11200</v>
      </c>
      <c r="U71" s="2"/>
      <c r="V71" s="6">
        <f t="shared" si="42"/>
        <v>4.0548417344585516E-2</v>
      </c>
      <c r="W71" s="2"/>
      <c r="X71" s="7">
        <f t="shared" si="43"/>
        <v>-5026.6000000000004</v>
      </c>
      <c r="Y71" s="2"/>
      <c r="Z71" s="6">
        <f t="shared" si="44"/>
        <v>-0.44880357142857147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7">
        <v>398.67</v>
      </c>
      <c r="E72" s="2"/>
      <c r="F72" s="6">
        <f t="shared" si="37"/>
        <v>8.9753951654843386E-2</v>
      </c>
      <c r="G72" s="2"/>
      <c r="H72" s="7">
        <v>200</v>
      </c>
      <c r="I72" s="2"/>
      <c r="J72" s="6">
        <f t="shared" si="38"/>
        <v>4.0816326530612249E-3</v>
      </c>
      <c r="K72" s="2"/>
      <c r="L72" s="7">
        <f t="shared" si="39"/>
        <v>198.67000000000002</v>
      </c>
      <c r="M72" s="2"/>
      <c r="N72" s="6">
        <f t="shared" si="40"/>
        <v>0.99335000000000007</v>
      </c>
      <c r="O72" s="11"/>
      <c r="P72" s="7">
        <v>838.28</v>
      </c>
      <c r="Q72" s="2"/>
      <c r="R72" s="6">
        <f t="shared" si="41"/>
        <v>7.7013796207427918E-3</v>
      </c>
      <c r="S72" s="2"/>
      <c r="T72" s="7">
        <v>1700</v>
      </c>
      <c r="U72" s="2"/>
      <c r="V72" s="6">
        <f t="shared" si="42"/>
        <v>6.1546704898031591E-3</v>
      </c>
      <c r="W72" s="2"/>
      <c r="X72" s="7">
        <f t="shared" si="43"/>
        <v>-861.72</v>
      </c>
      <c r="Y72" s="2"/>
      <c r="Z72" s="6">
        <f t="shared" si="44"/>
        <v>-0.50689411764705883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7">
        <v>-2563.2199999999998</v>
      </c>
      <c r="E73" s="2"/>
      <c r="F73" s="6">
        <f t="shared" si="37"/>
        <v>-0.57706655620118807</v>
      </c>
      <c r="G73" s="2"/>
      <c r="H73" s="7">
        <v>100</v>
      </c>
      <c r="I73" s="2"/>
      <c r="J73" s="6">
        <f t="shared" si="38"/>
        <v>2.0408163265306124E-3</v>
      </c>
      <c r="K73" s="2"/>
      <c r="L73" s="7">
        <f t="shared" si="39"/>
        <v>-2663.22</v>
      </c>
      <c r="M73" s="2"/>
      <c r="N73" s="6">
        <f t="shared" si="40"/>
        <v>-26.632199999999997</v>
      </c>
      <c r="O73" s="11"/>
      <c r="P73" s="7">
        <v>18001</v>
      </c>
      <c r="Q73" s="2"/>
      <c r="R73" s="6">
        <f t="shared" si="41"/>
        <v>0.16537736144604548</v>
      </c>
      <c r="S73" s="2"/>
      <c r="T73" s="7">
        <v>750</v>
      </c>
      <c r="U73" s="2"/>
      <c r="V73" s="6">
        <f t="shared" si="42"/>
        <v>2.715295804324923E-3</v>
      </c>
      <c r="W73" s="2"/>
      <c r="X73" s="7">
        <f t="shared" si="43"/>
        <v>17251</v>
      </c>
      <c r="Y73" s="2"/>
      <c r="Z73" s="6">
        <f t="shared" si="44"/>
        <v>23.001333333333335</v>
      </c>
    </row>
    <row r="74" spans="1:26" s="28" customFormat="1" outlineLevel="1" collapsed="1" x14ac:dyDescent="0.25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SUM(OSRRefD22_10x_0)</f>
        <v>82.1</v>
      </c>
      <c r="E74" s="1"/>
      <c r="F74" s="5">
        <f t="shared" ref="F74:F77" si="45">IF(D$12=0,0,D74/D$12)</f>
        <v>1.8483456068584647E-2</v>
      </c>
      <c r="G74" s="1"/>
      <c r="H74" s="1">
        <f>SUM(OSRRefH22_10x_0)</f>
        <v>165</v>
      </c>
      <c r="I74" s="1"/>
      <c r="J74" s="5">
        <f t="shared" ref="J74:J77" si="46">IF(H$12=0,0,H74/H$12)</f>
        <v>3.3673469387755102E-3</v>
      </c>
      <c r="K74" s="1"/>
      <c r="L74" s="1">
        <f t="shared" ref="L74:L77" si="47">+D74-H74</f>
        <v>-82.9</v>
      </c>
      <c r="M74" s="1"/>
      <c r="N74" s="5">
        <f t="shared" ref="N74:N77" si="48">IF(H74=0,0,L74/H74)</f>
        <v>-0.50242424242424244</v>
      </c>
      <c r="O74" s="14"/>
      <c r="P74" s="1">
        <f>SUM(OSRRefP22_10x_0)</f>
        <v>1421.3</v>
      </c>
      <c r="Q74" s="1"/>
      <c r="R74" s="5">
        <f t="shared" ref="R74:R77" si="49">IF(P$12=0,0,P74/P$12)</f>
        <v>1.3057654787137626E-2</v>
      </c>
      <c r="S74" s="1"/>
      <c r="T74" s="1">
        <f>SUM(OSRRefT22_10x_0)</f>
        <v>1320</v>
      </c>
      <c r="U74" s="1"/>
      <c r="V74" s="5">
        <f t="shared" ref="V74:V77" si="50">IF(T$12=0,0,T74/T$12)</f>
        <v>4.7789206156118652E-3</v>
      </c>
      <c r="W74" s="1"/>
      <c r="X74" s="1">
        <f t="shared" ref="X74:X77" si="51">+P74-T74</f>
        <v>101.29999999999995</v>
      </c>
      <c r="Y74" s="1"/>
      <c r="Z74" s="5">
        <f t="shared" ref="Z74:Z77" si="52">IF(T74=0,0,X74/T74)</f>
        <v>7.6742424242424209E-2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7">
        <v>82.1</v>
      </c>
      <c r="E75" s="2"/>
      <c r="F75" s="6">
        <f t="shared" si="45"/>
        <v>1.8483456068584647E-2</v>
      </c>
      <c r="G75" s="2"/>
      <c r="H75" s="7">
        <v>165</v>
      </c>
      <c r="I75" s="2"/>
      <c r="J75" s="6">
        <f t="shared" si="46"/>
        <v>3.3673469387755102E-3</v>
      </c>
      <c r="K75" s="2"/>
      <c r="L75" s="7">
        <f t="shared" si="47"/>
        <v>-82.9</v>
      </c>
      <c r="M75" s="2"/>
      <c r="N75" s="6">
        <f t="shared" si="48"/>
        <v>-0.50242424242424244</v>
      </c>
      <c r="O75" s="11"/>
      <c r="P75" s="7">
        <v>1421.3</v>
      </c>
      <c r="Q75" s="2"/>
      <c r="R75" s="6">
        <f t="shared" si="49"/>
        <v>1.3057654787137626E-2</v>
      </c>
      <c r="S75" s="2"/>
      <c r="T75" s="7">
        <v>1320</v>
      </c>
      <c r="U75" s="2"/>
      <c r="V75" s="6">
        <f t="shared" si="50"/>
        <v>4.7789206156118652E-3</v>
      </c>
      <c r="W75" s="2"/>
      <c r="X75" s="7">
        <f t="shared" si="51"/>
        <v>101.29999999999995</v>
      </c>
      <c r="Y75" s="2"/>
      <c r="Z75" s="6">
        <f t="shared" si="52"/>
        <v>7.6742424242424209E-2</v>
      </c>
    </row>
    <row r="76" spans="1:26" s="28" customFormat="1" outlineLevel="1" collapsed="1" x14ac:dyDescent="0.25">
      <c r="A76" s="29"/>
      <c r="B76" s="14" t="str">
        <f>CONCATENATE("     ","Utilities                                         ")</f>
        <v xml:space="preserve">     Utilities                                         </v>
      </c>
      <c r="C76" s="14"/>
      <c r="D76" s="1">
        <f>SUM(OSRRefD22_11x_0)</f>
        <v>0</v>
      </c>
      <c r="E76" s="1"/>
      <c r="F76" s="5">
        <f t="shared" si="45"/>
        <v>0</v>
      </c>
      <c r="G76" s="1"/>
      <c r="H76" s="1">
        <f>SUM(OSRRefH22_11x_0)</f>
        <v>0</v>
      </c>
      <c r="I76" s="1"/>
      <c r="J76" s="5">
        <f t="shared" si="46"/>
        <v>0</v>
      </c>
      <c r="K76" s="1"/>
      <c r="L76" s="1">
        <f t="shared" si="47"/>
        <v>0</v>
      </c>
      <c r="M76" s="1"/>
      <c r="N76" s="5">
        <f t="shared" si="48"/>
        <v>0</v>
      </c>
      <c r="O76" s="14"/>
      <c r="P76" s="1">
        <f>SUM(OSRRefP22_11x_0)</f>
        <v>15.02</v>
      </c>
      <c r="Q76" s="1"/>
      <c r="R76" s="5">
        <f t="shared" si="49"/>
        <v>1.3799055435362496E-4</v>
      </c>
      <c r="S76" s="1"/>
      <c r="T76" s="1">
        <f>SUM(OSRRefT22_11x_0)</f>
        <v>0</v>
      </c>
      <c r="U76" s="1"/>
      <c r="V76" s="5">
        <f t="shared" si="50"/>
        <v>0</v>
      </c>
      <c r="W76" s="1"/>
      <c r="X76" s="1">
        <f t="shared" si="51"/>
        <v>15.02</v>
      </c>
      <c r="Y76" s="1"/>
      <c r="Z76" s="5">
        <f t="shared" si="52"/>
        <v>0</v>
      </c>
    </row>
    <row r="77" spans="1:26" s="24" customFormat="1" hidden="1" outlineLevel="2" x14ac:dyDescent="0.25">
      <c r="A77" s="27"/>
      <c r="B77" s="11" t="str">
        <f>CONCATENATE("          ", "6274", " - ", "UTILITIES")</f>
        <v xml:space="preserve">          6274 - UTILITIES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15.02</v>
      </c>
      <c r="Q77" s="2"/>
      <c r="R77" s="6">
        <f t="shared" si="49"/>
        <v>1.3799055435362496E-4</v>
      </c>
      <c r="S77" s="2"/>
      <c r="T77" s="7"/>
      <c r="U77" s="2"/>
      <c r="V77" s="6">
        <f t="shared" si="50"/>
        <v>0</v>
      </c>
      <c r="W77" s="2"/>
      <c r="X77" s="7">
        <f t="shared" si="51"/>
        <v>15.02</v>
      </c>
      <c r="Y77" s="2"/>
      <c r="Z77" s="6">
        <f t="shared" si="52"/>
        <v>0</v>
      </c>
    </row>
    <row r="78" spans="1:26" s="58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6" t="s">
        <v>0</v>
      </c>
      <c r="C79" s="10"/>
      <c r="D79" s="4">
        <f>SUM(OSRRefD25x_0)</f>
        <v>6782</v>
      </c>
      <c r="E79" s="4"/>
      <c r="F79" s="12">
        <f t="shared" ref="F79:F80" si="53">IF(D$12=0,0,D79/D$12)</f>
        <v>1.5268550433269317</v>
      </c>
      <c r="G79" s="4"/>
      <c r="H79" s="4">
        <f>SUM(OSRRefH25x_0)</f>
        <v>6875</v>
      </c>
      <c r="I79" s="4"/>
      <c r="J79" s="12">
        <f t="shared" ref="J79:J80" si="54">IF(H$12=0,0,H79/H$12)</f>
        <v>0.14030612244897958</v>
      </c>
      <c r="K79" s="4"/>
      <c r="L79" s="4">
        <f t="shared" ref="L79:L80" si="55">+D79-H79</f>
        <v>-93</v>
      </c>
      <c r="M79" s="4"/>
      <c r="N79" s="12">
        <f t="shared" ref="N79:N80" si="56">IF(H79=0,0,L79/H79)</f>
        <v>-1.3527272727272728E-2</v>
      </c>
      <c r="O79" s="10"/>
      <c r="P79" s="4">
        <f>SUM(OSRRefP25x_0)</f>
        <v>54256</v>
      </c>
      <c r="Q79" s="4"/>
      <c r="R79" s="12">
        <f t="shared" ref="R79:R80" si="57">IF(P$12=0,0,P79/P$12)</f>
        <v>0.49845642589948574</v>
      </c>
      <c r="S79" s="4"/>
      <c r="T79" s="4">
        <f>SUM(OSRRefT25x_0)</f>
        <v>55000</v>
      </c>
      <c r="U79" s="4"/>
      <c r="V79" s="12">
        <f t="shared" ref="V79:V80" si="58">IF(T$12=0,0,T79/T$12)</f>
        <v>0.19912169231716104</v>
      </c>
      <c r="W79" s="4"/>
      <c r="X79" s="4">
        <f t="shared" ref="X79:X80" si="59">+P79-T79</f>
        <v>-744</v>
      </c>
      <c r="Y79" s="4"/>
      <c r="Z79" s="12">
        <f t="shared" ref="Z79:Z80" si="60">IF(T79=0,0,X79/T79)</f>
        <v>-1.3527272727272728E-2</v>
      </c>
    </row>
    <row r="80" spans="1:26" s="24" customFormat="1" hidden="1" outlineLevel="1" x14ac:dyDescent="0.25">
      <c r="A80" s="51"/>
      <c r="B80" s="11" t="str">
        <f>CONCATENATE("          ", "9150", " - ", "MISC. INCOME")</f>
        <v xml:space="preserve">          9150 - MISC. INCOME</v>
      </c>
      <c r="C80" s="11"/>
      <c r="D80" s="2">
        <f>--6782</f>
        <v>6782</v>
      </c>
      <c r="E80" s="2"/>
      <c r="F80" s="22">
        <f t="shared" si="53"/>
        <v>1.5268550433269317</v>
      </c>
      <c r="G80" s="2"/>
      <c r="H80" s="2">
        <v>6875</v>
      </c>
      <c r="I80" s="2"/>
      <c r="J80" s="22">
        <f t="shared" si="54"/>
        <v>0.14030612244897958</v>
      </c>
      <c r="K80" s="2"/>
      <c r="L80" s="2">
        <f t="shared" si="55"/>
        <v>-93</v>
      </c>
      <c r="M80" s="2"/>
      <c r="N80" s="22">
        <f t="shared" si="56"/>
        <v>-1.3527272727272728E-2</v>
      </c>
      <c r="O80" s="11"/>
      <c r="P80" s="2">
        <f>--54256</f>
        <v>54256</v>
      </c>
      <c r="Q80" s="2"/>
      <c r="R80" s="22">
        <f t="shared" si="57"/>
        <v>0.49845642589948574</v>
      </c>
      <c r="S80" s="2"/>
      <c r="T80" s="2">
        <v>55000</v>
      </c>
      <c r="U80" s="2"/>
      <c r="V80" s="22">
        <f t="shared" si="58"/>
        <v>0.19912169231716104</v>
      </c>
      <c r="W80" s="2"/>
      <c r="X80" s="2">
        <f t="shared" si="59"/>
        <v>-744</v>
      </c>
      <c r="Y80" s="2"/>
      <c r="Z80" s="22">
        <f t="shared" si="60"/>
        <v>-1.3527272727272728E-2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3</v>
      </c>
      <c r="C82" s="25"/>
      <c r="D82" s="19">
        <f>+D28-D30+D79</f>
        <v>-16368.850000000002</v>
      </c>
      <c r="E82" s="13"/>
      <c r="F82" s="21">
        <f>IF(D$12=0,0,D82/D$12)</f>
        <v>-3.6851756378593405</v>
      </c>
      <c r="G82" s="13"/>
      <c r="H82" s="19">
        <f>+H28-H30+H79</f>
        <v>19583.850390507658</v>
      </c>
      <c r="I82" s="13"/>
      <c r="J82" s="21">
        <f>IF(H$12=0,0,H82/H$12)</f>
        <v>0.39967041613280935</v>
      </c>
      <c r="K82" s="15"/>
      <c r="L82" s="19">
        <f>+D82-H82</f>
        <v>-35952.700390507656</v>
      </c>
      <c r="M82" s="15"/>
      <c r="N82" s="21">
        <f>IF(H82=0,0,L82/H82)</f>
        <v>-1.8358341017522286</v>
      </c>
      <c r="O82" s="26"/>
      <c r="P82" s="19">
        <f>+P28-P30+P79</f>
        <v>-74720.379999999946</v>
      </c>
      <c r="Q82" s="13"/>
      <c r="R82" s="21">
        <f>IF(P$12=0,0,P82/P$12)</f>
        <v>-0.68646515697160482</v>
      </c>
      <c r="S82" s="13"/>
      <c r="T82" s="19">
        <f>+T28-T30+T79</f>
        <v>72940.02957531705</v>
      </c>
      <c r="U82" s="13"/>
      <c r="V82" s="21">
        <f>IF(T$12=0,0,T82/T$12)</f>
        <v>0.2640716750309256</v>
      </c>
      <c r="W82" s="15"/>
      <c r="X82" s="19">
        <f>+P82-T82</f>
        <v>-147660.409575317</v>
      </c>
      <c r="Y82" s="15"/>
      <c r="Z82" s="21">
        <f>IF(T82=0,0,X82/T82)</f>
        <v>-2.0244084138030756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2603.31</v>
      </c>
      <c r="E84" s="4"/>
      <c r="F84" s="12">
        <f>IF(D$12=0,0,D84/D$12)</f>
        <v>0.58609215612554322</v>
      </c>
      <c r="G84" s="4"/>
      <c r="H84" s="4">
        <v>8072</v>
      </c>
      <c r="I84" s="4"/>
      <c r="J84" s="12">
        <f>IF(H$12=0,0,H84/H$12)</f>
        <v>0.16473469387755102</v>
      </c>
      <c r="K84" s="4"/>
      <c r="L84" s="4">
        <f>+D84-H84</f>
        <v>-5468.6900000000005</v>
      </c>
      <c r="M84" s="4"/>
      <c r="N84" s="12">
        <f>IF(H84=0,0,L84/H84)</f>
        <v>-0.67748885034687811</v>
      </c>
      <c r="O84" s="10"/>
      <c r="P84" s="4">
        <v>21555.8</v>
      </c>
      <c r="Q84" s="4"/>
      <c r="R84" s="12">
        <f>IF(P$12=0,0,P84/P$12)</f>
        <v>0.1980357384511231</v>
      </c>
      <c r="S84" s="4"/>
      <c r="T84" s="4">
        <v>47502</v>
      </c>
      <c r="U84" s="4"/>
      <c r="V84" s="12">
        <f>IF(T$12=0,0,T84/T$12)</f>
        <v>0.17197597506272333</v>
      </c>
      <c r="W84" s="4"/>
      <c r="X84" s="4">
        <f>+P84-T84</f>
        <v>-25946.2</v>
      </c>
      <c r="Y84" s="4"/>
      <c r="Z84" s="12">
        <f>IF(T84=0,0,X84/T84)</f>
        <v>-0.54621279104037723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4</v>
      </c>
      <c r="C86" s="25"/>
      <c r="D86" s="34">
        <f>+D82-D84</f>
        <v>-18972.160000000003</v>
      </c>
      <c r="E86" s="13"/>
      <c r="F86" s="30">
        <f>IF(D$12=0,0,D86/D$12)</f>
        <v>-4.271267793984884</v>
      </c>
      <c r="G86" s="13"/>
      <c r="H86" s="34">
        <f>+H82-H84</f>
        <v>11511.850390507658</v>
      </c>
      <c r="I86" s="13"/>
      <c r="J86" s="30">
        <f>IF(H$12=0,0,H86/H$12)</f>
        <v>0.23493572225525833</v>
      </c>
      <c r="K86" s="15"/>
      <c r="L86" s="34">
        <f>D86-H86</f>
        <v>-30484.010390507661</v>
      </c>
      <c r="M86" s="15"/>
      <c r="N86" s="30">
        <f>IF(H86=0,0,L86/H86)</f>
        <v>-2.6480547745516136</v>
      </c>
      <c r="O86" s="26"/>
      <c r="P86" s="34">
        <f>+P82-P84</f>
        <v>-96276.179999999949</v>
      </c>
      <c r="Q86" s="13"/>
      <c r="R86" s="30">
        <f>IF(P$12=0,0,P86/P$12)</f>
        <v>-0.88450089542272792</v>
      </c>
      <c r="S86" s="13"/>
      <c r="T86" s="34">
        <f>+T82-T84</f>
        <v>25438.02957531705</v>
      </c>
      <c r="U86" s="13"/>
      <c r="V86" s="30">
        <f>IF(T$12=0,0,T86/T$12)</f>
        <v>9.2095699968202258E-2</v>
      </c>
      <c r="W86" s="15"/>
      <c r="X86" s="34">
        <f>P86-T86</f>
        <v>-121714.209575317</v>
      </c>
      <c r="Y86" s="15"/>
      <c r="Z86" s="30">
        <f>IF(T86=0,0,X86/T86)</f>
        <v>-4.7847341797816902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5</v>
      </c>
      <c r="C89" s="25"/>
      <c r="D89" s="35">
        <f>SUM(D86:D88)</f>
        <v>-18972.160000000003</v>
      </c>
      <c r="E89" s="13"/>
      <c r="F89" s="31">
        <f>IF(D$12=0,0,D89/D$12)</f>
        <v>-4.271267793984884</v>
      </c>
      <c r="G89" s="13"/>
      <c r="H89" s="35">
        <f>SUM(H86:H88)</f>
        <v>11511.850390507658</v>
      </c>
      <c r="I89" s="13"/>
      <c r="J89" s="31">
        <f>IF(H$12=0,0,H89/H$12)</f>
        <v>0.23493572225525833</v>
      </c>
      <c r="K89" s="15"/>
      <c r="L89" s="35">
        <f>+D89-H89</f>
        <v>-30484.010390507661</v>
      </c>
      <c r="M89" s="15"/>
      <c r="N89" s="31">
        <f>IF(H89=0,0,L89/H89)</f>
        <v>-2.6480547745516136</v>
      </c>
      <c r="O89" s="26"/>
      <c r="P89" s="35">
        <f>SUM(P86:P88)</f>
        <v>-96276.179999999949</v>
      </c>
      <c r="Q89" s="13"/>
      <c r="R89" s="31">
        <f>IF(P$12=0,0,P89/P$12)</f>
        <v>-0.88450089542272792</v>
      </c>
      <c r="S89" s="13"/>
      <c r="T89" s="35">
        <f>SUM(T86:T88)</f>
        <v>25438.02957531705</v>
      </c>
      <c r="U89" s="13"/>
      <c r="V89" s="31">
        <f>IF(T$12=0,0,T89/T$12)</f>
        <v>9.2095699968202258E-2</v>
      </c>
      <c r="W89" s="15"/>
      <c r="X89" s="35">
        <f>+P89-T89</f>
        <v>-121714.209575317</v>
      </c>
      <c r="Y89" s="15"/>
      <c r="Z89" s="31">
        <f>IF(T89=0,0,X89/T89)</f>
        <v>-4.7847341797816902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3">
        <v>44267.671865393517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62" t="s">
        <v>314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7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185934.87000000002</v>
      </c>
      <c r="E12" s="4"/>
      <c r="F12" s="12"/>
      <c r="G12" s="4"/>
      <c r="H12" s="4">
        <f>SUM(OSRRefH13x_0)</f>
        <v>112974</v>
      </c>
      <c r="I12" s="4"/>
      <c r="J12" s="12"/>
      <c r="K12" s="4"/>
      <c r="L12" s="4">
        <f t="shared" ref="L12:L30" si="0">+D12-H12</f>
        <v>72960.870000000024</v>
      </c>
      <c r="M12" s="4"/>
      <c r="N12" s="12">
        <f t="shared" ref="N12:N30" si="1">IF(H12=0,0,L12/H12)</f>
        <v>0.64582001168410452</v>
      </c>
      <c r="O12" s="10"/>
      <c r="P12" s="4">
        <f>SUM(OSRRefP13x_0)</f>
        <v>1590471.2</v>
      </c>
      <c r="Q12" s="4"/>
      <c r="R12" s="12"/>
      <c r="S12" s="4"/>
      <c r="T12" s="4">
        <f>SUM(OSRRefT13x_0)</f>
        <v>1731631</v>
      </c>
      <c r="U12" s="4"/>
      <c r="V12" s="12"/>
      <c r="W12" s="4"/>
      <c r="X12" s="4">
        <f t="shared" ref="X12:X30" si="2">+P12-T12</f>
        <v>-141159.80000000005</v>
      </c>
      <c r="Y12" s="4"/>
      <c r="Z12" s="12">
        <f t="shared" ref="Z12:Z30" si="3">IF(T12=0,0,X12/T12)</f>
        <v>-8.1518406635131879E-2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-49</f>
        <v>-49</v>
      </c>
      <c r="E13" s="2"/>
      <c r="F13" s="22"/>
      <c r="G13" s="2"/>
      <c r="H13" s="2">
        <v>100185</v>
      </c>
      <c r="I13" s="2"/>
      <c r="J13" s="22"/>
      <c r="K13" s="2"/>
      <c r="L13" s="2">
        <f t="shared" si="0"/>
        <v>-100234</v>
      </c>
      <c r="M13" s="2"/>
      <c r="N13" s="22">
        <f t="shared" si="1"/>
        <v>-1.0004890951739283</v>
      </c>
      <c r="O13" s="11"/>
      <c r="P13" s="2">
        <f>-2696.96</f>
        <v>-2696.96</v>
      </c>
      <c r="Q13" s="2"/>
      <c r="R13" s="22"/>
      <c r="S13" s="2"/>
      <c r="T13" s="2">
        <v>1621687</v>
      </c>
      <c r="U13" s="2"/>
      <c r="V13" s="22"/>
      <c r="W13" s="2"/>
      <c r="X13" s="2">
        <f t="shared" si="2"/>
        <v>-1624383.96</v>
      </c>
      <c r="Y13" s="2"/>
      <c r="Z13" s="22">
        <f t="shared" si="3"/>
        <v>-1.0016630582843669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--64.79</f>
        <v>64.790000000000006</v>
      </c>
      <c r="E14" s="2"/>
      <c r="F14" s="22"/>
      <c r="G14" s="2"/>
      <c r="H14" s="2"/>
      <c r="I14" s="2"/>
      <c r="J14" s="22"/>
      <c r="K14" s="2"/>
      <c r="L14" s="2">
        <f t="shared" si="0"/>
        <v>64.790000000000006</v>
      </c>
      <c r="M14" s="2"/>
      <c r="N14" s="22">
        <f t="shared" si="1"/>
        <v>0</v>
      </c>
      <c r="O14" s="11"/>
      <c r="P14" s="2">
        <f>--59262.85</f>
        <v>59262.85</v>
      </c>
      <c r="Q14" s="2"/>
      <c r="R14" s="22"/>
      <c r="S14" s="2"/>
      <c r="T14" s="2"/>
      <c r="U14" s="2"/>
      <c r="V14" s="22"/>
      <c r="W14" s="2"/>
      <c r="X14" s="2">
        <f t="shared" si="2"/>
        <v>59262.85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--165815.3</f>
        <v>165815.29999999999</v>
      </c>
      <c r="E15" s="2"/>
      <c r="F15" s="22"/>
      <c r="G15" s="2"/>
      <c r="H15" s="2"/>
      <c r="I15" s="2"/>
      <c r="J15" s="22"/>
      <c r="K15" s="2"/>
      <c r="L15" s="2">
        <f t="shared" si="0"/>
        <v>165815.29999999999</v>
      </c>
      <c r="M15" s="2"/>
      <c r="N15" s="22">
        <f t="shared" si="1"/>
        <v>0</v>
      </c>
      <c r="O15" s="11"/>
      <c r="P15" s="2">
        <f>--1250838.47</f>
        <v>1250838.47</v>
      </c>
      <c r="Q15" s="2"/>
      <c r="R15" s="22"/>
      <c r="S15" s="2"/>
      <c r="T15" s="2"/>
      <c r="U15" s="2"/>
      <c r="V15" s="22"/>
      <c r="W15" s="2"/>
      <c r="X15" s="2">
        <f t="shared" si="2"/>
        <v>1250838.47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--3521.24</f>
        <v>3521.24</v>
      </c>
      <c r="E16" s="2"/>
      <c r="F16" s="22"/>
      <c r="G16" s="2"/>
      <c r="H16" s="2"/>
      <c r="I16" s="2"/>
      <c r="J16" s="22"/>
      <c r="K16" s="2"/>
      <c r="L16" s="2">
        <f t="shared" si="0"/>
        <v>3521.24</v>
      </c>
      <c r="M16" s="2"/>
      <c r="N16" s="22">
        <f t="shared" si="1"/>
        <v>0</v>
      </c>
      <c r="O16" s="11"/>
      <c r="P16" s="2">
        <f>--96798.83</f>
        <v>96798.83</v>
      </c>
      <c r="Q16" s="2"/>
      <c r="R16" s="22"/>
      <c r="S16" s="2"/>
      <c r="T16" s="2"/>
      <c r="U16" s="2"/>
      <c r="V16" s="22"/>
      <c r="W16" s="2"/>
      <c r="X16" s="2">
        <f t="shared" si="2"/>
        <v>96798.83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--2878.93</f>
        <v>2878.93</v>
      </c>
      <c r="Q17" s="2"/>
      <c r="R17" s="22"/>
      <c r="S17" s="2"/>
      <c r="T17" s="2"/>
      <c r="U17" s="2"/>
      <c r="V17" s="22"/>
      <c r="W17" s="2"/>
      <c r="X17" s="2">
        <f t="shared" si="2"/>
        <v>2878.93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--1077.33</f>
        <v>1077.33</v>
      </c>
      <c r="E18" s="2"/>
      <c r="F18" s="22"/>
      <c r="G18" s="2"/>
      <c r="H18" s="2"/>
      <c r="I18" s="2"/>
      <c r="J18" s="22"/>
      <c r="K18" s="2"/>
      <c r="L18" s="2">
        <f t="shared" si="0"/>
        <v>1077.33</v>
      </c>
      <c r="M18" s="2"/>
      <c r="N18" s="22">
        <f t="shared" si="1"/>
        <v>0</v>
      </c>
      <c r="O18" s="11"/>
      <c r="P18" s="2">
        <f>--58947.17</f>
        <v>58947.17</v>
      </c>
      <c r="Q18" s="2"/>
      <c r="R18" s="22"/>
      <c r="S18" s="2"/>
      <c r="T18" s="2"/>
      <c r="U18" s="2"/>
      <c r="V18" s="22"/>
      <c r="W18" s="2"/>
      <c r="X18" s="2">
        <f t="shared" si="2"/>
        <v>58947.17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12789</v>
      </c>
      <c r="I19" s="2"/>
      <c r="J19" s="22"/>
      <c r="K19" s="2"/>
      <c r="L19" s="2">
        <f t="shared" si="0"/>
        <v>-12789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109944</v>
      </c>
      <c r="U19" s="2"/>
      <c r="V19" s="22"/>
      <c r="W19" s="2"/>
      <c r="X19" s="2">
        <f t="shared" si="2"/>
        <v>-109944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--6619.94</f>
        <v>6619.94</v>
      </c>
      <c r="E20" s="2"/>
      <c r="F20" s="22"/>
      <c r="G20" s="2"/>
      <c r="H20" s="2"/>
      <c r="I20" s="2"/>
      <c r="J20" s="22"/>
      <c r="K20" s="2"/>
      <c r="L20" s="2">
        <f t="shared" si="0"/>
        <v>6619.94</v>
      </c>
      <c r="M20" s="2"/>
      <c r="N20" s="22">
        <f t="shared" si="1"/>
        <v>0</v>
      </c>
      <c r="O20" s="11"/>
      <c r="P20" s="2">
        <f>--12192.66</f>
        <v>12192.66</v>
      </c>
      <c r="Q20" s="2"/>
      <c r="R20" s="22"/>
      <c r="S20" s="2"/>
      <c r="T20" s="2"/>
      <c r="U20" s="2"/>
      <c r="V20" s="22"/>
      <c r="W20" s="2"/>
      <c r="X20" s="2">
        <f t="shared" si="2"/>
        <v>12192.66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--33247.79</f>
        <v>33247.79</v>
      </c>
      <c r="E21" s="2"/>
      <c r="F21" s="22"/>
      <c r="G21" s="2"/>
      <c r="H21" s="2"/>
      <c r="I21" s="2"/>
      <c r="J21" s="22"/>
      <c r="K21" s="2"/>
      <c r="L21" s="2">
        <f t="shared" si="0"/>
        <v>33247.79</v>
      </c>
      <c r="M21" s="2"/>
      <c r="N21" s="22">
        <f t="shared" si="1"/>
        <v>0</v>
      </c>
      <c r="O21" s="11"/>
      <c r="P21" s="2">
        <f>--219646.99</f>
        <v>219646.99</v>
      </c>
      <c r="Q21" s="2"/>
      <c r="R21" s="22"/>
      <c r="S21" s="2"/>
      <c r="T21" s="2"/>
      <c r="U21" s="2"/>
      <c r="V21" s="22"/>
      <c r="W21" s="2"/>
      <c r="X21" s="2">
        <f t="shared" si="2"/>
        <v>219646.99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--3104.68</f>
        <v>3104.68</v>
      </c>
      <c r="E22" s="2"/>
      <c r="F22" s="22"/>
      <c r="G22" s="2"/>
      <c r="H22" s="2"/>
      <c r="I22" s="2"/>
      <c r="J22" s="22"/>
      <c r="K22" s="2"/>
      <c r="L22" s="2">
        <f t="shared" si="0"/>
        <v>3104.68</v>
      </c>
      <c r="M22" s="2"/>
      <c r="N22" s="22">
        <f t="shared" si="1"/>
        <v>0</v>
      </c>
      <c r="O22" s="11"/>
      <c r="P22" s="2">
        <f>--13622.82</f>
        <v>13622.82</v>
      </c>
      <c r="Q22" s="2"/>
      <c r="R22" s="22"/>
      <c r="S22" s="2"/>
      <c r="T22" s="2"/>
      <c r="U22" s="2"/>
      <c r="V22" s="22"/>
      <c r="W22" s="2"/>
      <c r="X22" s="2">
        <f t="shared" si="2"/>
        <v>13622.82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--5296.67</f>
        <v>5296.67</v>
      </c>
      <c r="E23" s="2"/>
      <c r="F23" s="22"/>
      <c r="G23" s="2"/>
      <c r="H23" s="2"/>
      <c r="I23" s="2"/>
      <c r="J23" s="22"/>
      <c r="K23" s="2"/>
      <c r="L23" s="2">
        <f t="shared" si="0"/>
        <v>5296.67</v>
      </c>
      <c r="M23" s="2"/>
      <c r="N23" s="22">
        <f t="shared" si="1"/>
        <v>0</v>
      </c>
      <c r="O23" s="11"/>
      <c r="P23" s="2">
        <f>--35127.19</f>
        <v>35127.19</v>
      </c>
      <c r="Q23" s="2"/>
      <c r="R23" s="22"/>
      <c r="S23" s="2"/>
      <c r="T23" s="2"/>
      <c r="U23" s="2"/>
      <c r="V23" s="22"/>
      <c r="W23" s="2"/>
      <c r="X23" s="2">
        <f t="shared" si="2"/>
        <v>35127.19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--345.23</f>
        <v>345.23</v>
      </c>
      <c r="E24" s="2"/>
      <c r="F24" s="22"/>
      <c r="G24" s="2"/>
      <c r="H24" s="2"/>
      <c r="I24" s="2"/>
      <c r="J24" s="22"/>
      <c r="K24" s="2"/>
      <c r="L24" s="2">
        <f t="shared" si="0"/>
        <v>345.23</v>
      </c>
      <c r="M24" s="2"/>
      <c r="N24" s="22">
        <f t="shared" si="1"/>
        <v>0</v>
      </c>
      <c r="O24" s="11"/>
      <c r="P24" s="2">
        <f>--2830.26</f>
        <v>2830.26</v>
      </c>
      <c r="Q24" s="2"/>
      <c r="R24" s="22"/>
      <c r="S24" s="2"/>
      <c r="T24" s="2"/>
      <c r="U24" s="2"/>
      <c r="V24" s="22"/>
      <c r="W24" s="2"/>
      <c r="X24" s="2">
        <f t="shared" si="2"/>
        <v>2830.26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-14762.14</f>
        <v>-14762.14</v>
      </c>
      <c r="Q25" s="2"/>
      <c r="R25" s="22"/>
      <c r="S25" s="2"/>
      <c r="T25" s="2"/>
      <c r="U25" s="2"/>
      <c r="V25" s="22"/>
      <c r="W25" s="2"/>
      <c r="X25" s="2">
        <f t="shared" si="2"/>
        <v>-14762.14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-32711.15</f>
        <v>-32711.15</v>
      </c>
      <c r="E26" s="2"/>
      <c r="F26" s="22"/>
      <c r="G26" s="2"/>
      <c r="H26" s="2"/>
      <c r="I26" s="2"/>
      <c r="J26" s="22"/>
      <c r="K26" s="2"/>
      <c r="L26" s="2">
        <f t="shared" si="0"/>
        <v>-32711.15</v>
      </c>
      <c r="M26" s="2"/>
      <c r="N26" s="22">
        <f t="shared" si="1"/>
        <v>0</v>
      </c>
      <c r="O26" s="11"/>
      <c r="P26" s="2">
        <f>-129628.16</f>
        <v>-129628.16</v>
      </c>
      <c r="Q26" s="2"/>
      <c r="R26" s="22"/>
      <c r="S26" s="2"/>
      <c r="T26" s="2"/>
      <c r="U26" s="2"/>
      <c r="V26" s="22"/>
      <c r="W26" s="2"/>
      <c r="X26" s="2">
        <f t="shared" si="2"/>
        <v>-129628.16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-212.99</f>
        <v>-212.99</v>
      </c>
      <c r="E27" s="2"/>
      <c r="F27" s="22"/>
      <c r="G27" s="2"/>
      <c r="H27" s="2"/>
      <c r="I27" s="2"/>
      <c r="J27" s="22"/>
      <c r="K27" s="2"/>
      <c r="L27" s="2">
        <f t="shared" si="0"/>
        <v>-212.99</v>
      </c>
      <c r="M27" s="2"/>
      <c r="N27" s="22">
        <f t="shared" si="1"/>
        <v>0</v>
      </c>
      <c r="O27" s="11"/>
      <c r="P27" s="2">
        <f>-3359.28</f>
        <v>-3359.28</v>
      </c>
      <c r="Q27" s="2"/>
      <c r="R27" s="22"/>
      <c r="S27" s="2"/>
      <c r="T27" s="2"/>
      <c r="U27" s="2"/>
      <c r="V27" s="22"/>
      <c r="W27" s="2"/>
      <c r="X27" s="2">
        <f t="shared" si="2"/>
        <v>-3359.28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-149.99</f>
        <v>-149.99</v>
      </c>
      <c r="E28" s="2"/>
      <c r="F28" s="22"/>
      <c r="G28" s="2"/>
      <c r="H28" s="2"/>
      <c r="I28" s="2"/>
      <c r="J28" s="22"/>
      <c r="K28" s="2"/>
      <c r="L28" s="2">
        <f t="shared" si="0"/>
        <v>-149.99</v>
      </c>
      <c r="M28" s="2"/>
      <c r="N28" s="22">
        <f t="shared" si="1"/>
        <v>0</v>
      </c>
      <c r="O28" s="11"/>
      <c r="P28" s="2">
        <f>-841.97</f>
        <v>-841.97</v>
      </c>
      <c r="Q28" s="2"/>
      <c r="R28" s="22"/>
      <c r="S28" s="2"/>
      <c r="T28" s="2"/>
      <c r="U28" s="2"/>
      <c r="V28" s="22"/>
      <c r="W28" s="2"/>
      <c r="X28" s="2">
        <f t="shared" si="2"/>
        <v>-841.97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-34.97</f>
        <v>-34.97</v>
      </c>
      <c r="E29" s="2"/>
      <c r="F29" s="22"/>
      <c r="G29" s="2"/>
      <c r="H29" s="2"/>
      <c r="I29" s="2"/>
      <c r="J29" s="22"/>
      <c r="K29" s="2"/>
      <c r="L29" s="2">
        <f t="shared" si="0"/>
        <v>-34.97</v>
      </c>
      <c r="M29" s="2"/>
      <c r="N29" s="22">
        <f t="shared" si="1"/>
        <v>0</v>
      </c>
      <c r="O29" s="11"/>
      <c r="P29" s="2">
        <f>-4762.31</f>
        <v>-4762.3100000000004</v>
      </c>
      <c r="Q29" s="2"/>
      <c r="R29" s="22"/>
      <c r="S29" s="2"/>
      <c r="T29" s="2"/>
      <c r="U29" s="2"/>
      <c r="V29" s="22"/>
      <c r="W29" s="2"/>
      <c r="X29" s="2">
        <f t="shared" si="2"/>
        <v>-4762.3100000000004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181960.00000000003</v>
      </c>
      <c r="E32" s="4"/>
      <c r="F32" s="12">
        <f t="shared" ref="F32:F44" si="4">IF(D$12=0,0,D32/D$12)</f>
        <v>0.97862224552070309</v>
      </c>
      <c r="G32" s="4"/>
      <c r="H32" s="4">
        <f>SUM(OSRRefH16x_0)</f>
        <v>88229</v>
      </c>
      <c r="I32" s="4"/>
      <c r="J32" s="12">
        <f t="shared" ref="J32:J44" si="5">IF(H$12=0,0,H32/H$12)</f>
        <v>0.7809673022111282</v>
      </c>
      <c r="K32" s="4"/>
      <c r="L32" s="4">
        <f t="shared" ref="L32:L44" si="6">+D32-H32</f>
        <v>93731.000000000029</v>
      </c>
      <c r="M32" s="4"/>
      <c r="N32" s="12">
        <f t="shared" ref="N32:N44" si="7">IF(H32=0,0,L32/H32)</f>
        <v>1.0623604483786513</v>
      </c>
      <c r="O32" s="10"/>
      <c r="P32" s="4">
        <f>SUM(OSRRefP16x_0)</f>
        <v>1508495.84</v>
      </c>
      <c r="Q32" s="4"/>
      <c r="R32" s="12">
        <f t="shared" ref="R32:R44" si="8">IF(P$12=0,0,P32/P$12)</f>
        <v>0.94845844426481918</v>
      </c>
      <c r="S32" s="4"/>
      <c r="T32" s="4">
        <f>SUM(OSRRefT16x_0)</f>
        <v>1352340</v>
      </c>
      <c r="U32" s="4"/>
      <c r="V32" s="12">
        <f t="shared" ref="V32:V44" si="9">IF(T$12=0,0,T32/T$12)</f>
        <v>0.78096314977036096</v>
      </c>
      <c r="W32" s="4"/>
      <c r="X32" s="4">
        <f t="shared" ref="X32:X44" si="10">+P32-T32</f>
        <v>156155.84000000008</v>
      </c>
      <c r="Y32" s="4"/>
      <c r="Z32" s="12">
        <f t="shared" ref="Z32:Z44" si="11">IF(T32=0,0,X32/T32)</f>
        <v>0.1154708431311653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88229</v>
      </c>
      <c r="I33" s="2"/>
      <c r="J33" s="22">
        <f t="shared" si="5"/>
        <v>0.7809673022111282</v>
      </c>
      <c r="K33" s="2"/>
      <c r="L33" s="2">
        <f t="shared" si="6"/>
        <v>-88229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1352340</v>
      </c>
      <c r="U33" s="2"/>
      <c r="V33" s="22">
        <f t="shared" si="9"/>
        <v>0.78096314977036096</v>
      </c>
      <c r="W33" s="2"/>
      <c r="X33" s="2">
        <f t="shared" si="10"/>
        <v>-1352340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6584.13</v>
      </c>
      <c r="E34" s="2"/>
      <c r="F34" s="22">
        <f t="shared" si="4"/>
        <v>3.5410947930315594E-2</v>
      </c>
      <c r="G34" s="2"/>
      <c r="H34" s="2"/>
      <c r="I34" s="2"/>
      <c r="J34" s="22">
        <f t="shared" si="5"/>
        <v>0</v>
      </c>
      <c r="K34" s="2"/>
      <c r="L34" s="2">
        <f t="shared" si="6"/>
        <v>6584.13</v>
      </c>
      <c r="M34" s="2"/>
      <c r="N34" s="22">
        <f t="shared" si="7"/>
        <v>0</v>
      </c>
      <c r="O34" s="11"/>
      <c r="P34" s="2">
        <v>32157.900000000005</v>
      </c>
      <c r="Q34" s="2"/>
      <c r="R34" s="22">
        <f t="shared" si="8"/>
        <v>2.0219102364129576E-2</v>
      </c>
      <c r="S34" s="2"/>
      <c r="T34" s="2"/>
      <c r="U34" s="2"/>
      <c r="V34" s="22">
        <f t="shared" si="9"/>
        <v>0</v>
      </c>
      <c r="W34" s="2"/>
      <c r="X34" s="2">
        <f t="shared" si="10"/>
        <v>32157.900000000005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184376.31</v>
      </c>
      <c r="E35" s="2"/>
      <c r="F35" s="22">
        <f t="shared" si="4"/>
        <v>0.99161771000781063</v>
      </c>
      <c r="G35" s="2"/>
      <c r="H35" s="2"/>
      <c r="I35" s="2"/>
      <c r="J35" s="22">
        <f t="shared" si="5"/>
        <v>0</v>
      </c>
      <c r="K35" s="2"/>
      <c r="L35" s="2">
        <f t="shared" si="6"/>
        <v>184376.31</v>
      </c>
      <c r="M35" s="2"/>
      <c r="N35" s="22">
        <f t="shared" si="7"/>
        <v>0</v>
      </c>
      <c r="O35" s="11"/>
      <c r="P35" s="2">
        <v>1263577.8400000001</v>
      </c>
      <c r="Q35" s="2"/>
      <c r="R35" s="22">
        <f t="shared" si="8"/>
        <v>0.79446760180253506</v>
      </c>
      <c r="S35" s="2"/>
      <c r="T35" s="2"/>
      <c r="U35" s="2"/>
      <c r="V35" s="22">
        <f t="shared" si="9"/>
        <v>0</v>
      </c>
      <c r="W35" s="2"/>
      <c r="X35" s="2">
        <f t="shared" si="10"/>
        <v>1263577.8400000001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8631.6</v>
      </c>
      <c r="E36" s="2"/>
      <c r="F36" s="22">
        <f t="shared" si="4"/>
        <v>4.6422707047903383E-2</v>
      </c>
      <c r="G36" s="2"/>
      <c r="H36" s="2"/>
      <c r="I36" s="2"/>
      <c r="J36" s="22">
        <f t="shared" si="5"/>
        <v>0</v>
      </c>
      <c r="K36" s="2"/>
      <c r="L36" s="2">
        <f t="shared" si="6"/>
        <v>8631.6</v>
      </c>
      <c r="M36" s="2"/>
      <c r="N36" s="22">
        <f t="shared" si="7"/>
        <v>0</v>
      </c>
      <c r="O36" s="11"/>
      <c r="P36" s="2">
        <v>99188.26999999999</v>
      </c>
      <c r="Q36" s="2"/>
      <c r="R36" s="22">
        <f t="shared" si="8"/>
        <v>6.2364078016628022E-2</v>
      </c>
      <c r="S36" s="2"/>
      <c r="T36" s="2"/>
      <c r="U36" s="2"/>
      <c r="V36" s="22">
        <f t="shared" si="9"/>
        <v>0</v>
      </c>
      <c r="W36" s="2"/>
      <c r="X36" s="2">
        <f t="shared" si="10"/>
        <v>99188.26999999999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1399.23</v>
      </c>
      <c r="E37" s="2"/>
      <c r="F37" s="22">
        <f t="shared" si="4"/>
        <v>7.5253770312152845E-3</v>
      </c>
      <c r="G37" s="2"/>
      <c r="H37" s="2"/>
      <c r="I37" s="2"/>
      <c r="J37" s="22">
        <f t="shared" si="5"/>
        <v>0</v>
      </c>
      <c r="K37" s="2"/>
      <c r="L37" s="2">
        <f t="shared" si="6"/>
        <v>1399.23</v>
      </c>
      <c r="M37" s="2"/>
      <c r="N37" s="22">
        <f t="shared" si="7"/>
        <v>0</v>
      </c>
      <c r="O37" s="11"/>
      <c r="P37" s="2">
        <v>30145.449999999997</v>
      </c>
      <c r="Q37" s="2"/>
      <c r="R37" s="22">
        <f t="shared" si="8"/>
        <v>1.8953785519662349E-2</v>
      </c>
      <c r="S37" s="2"/>
      <c r="T37" s="2"/>
      <c r="U37" s="2"/>
      <c r="V37" s="22">
        <f t="shared" si="9"/>
        <v>0</v>
      </c>
      <c r="W37" s="2"/>
      <c r="X37" s="2">
        <f t="shared" si="10"/>
        <v>30145.449999999997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385.43</v>
      </c>
      <c r="E38" s="2"/>
      <c r="F38" s="22">
        <f t="shared" si="4"/>
        <v>2.0729301609751843E-3</v>
      </c>
      <c r="G38" s="2"/>
      <c r="H38" s="2"/>
      <c r="I38" s="2"/>
      <c r="J38" s="22">
        <f t="shared" si="5"/>
        <v>0</v>
      </c>
      <c r="K38" s="2"/>
      <c r="L38" s="2">
        <f t="shared" si="6"/>
        <v>385.43</v>
      </c>
      <c r="M38" s="2"/>
      <c r="N38" s="22">
        <f t="shared" si="7"/>
        <v>0</v>
      </c>
      <c r="O38" s="11"/>
      <c r="P38" s="2">
        <v>23125.279999999999</v>
      </c>
      <c r="Q38" s="2"/>
      <c r="R38" s="22">
        <f t="shared" si="8"/>
        <v>1.4539892328763954E-2</v>
      </c>
      <c r="S38" s="2"/>
      <c r="T38" s="2"/>
      <c r="U38" s="2"/>
      <c r="V38" s="22">
        <f t="shared" si="9"/>
        <v>0</v>
      </c>
      <c r="W38" s="2"/>
      <c r="X38" s="2">
        <f t="shared" si="10"/>
        <v>23125.279999999999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-201407.69999999998</v>
      </c>
      <c r="E39" s="2"/>
      <c r="F39" s="22">
        <f t="shared" si="4"/>
        <v>-1.0832163972255444</v>
      </c>
      <c r="G39" s="2"/>
      <c r="H39" s="2"/>
      <c r="I39" s="2"/>
      <c r="J39" s="22">
        <f t="shared" si="5"/>
        <v>0</v>
      </c>
      <c r="K39" s="2"/>
      <c r="L39" s="2">
        <f t="shared" si="6"/>
        <v>-201407.69999999998</v>
      </c>
      <c r="M39" s="2"/>
      <c r="N39" s="22">
        <f t="shared" si="7"/>
        <v>0</v>
      </c>
      <c r="O39" s="11"/>
      <c r="P39" s="2">
        <v>-1444671.48</v>
      </c>
      <c r="Q39" s="2"/>
      <c r="R39" s="22">
        <f t="shared" si="8"/>
        <v>-0.90832922972764296</v>
      </c>
      <c r="S39" s="2"/>
      <c r="T39" s="2"/>
      <c r="U39" s="2"/>
      <c r="V39" s="22">
        <f t="shared" si="9"/>
        <v>0</v>
      </c>
      <c r="W39" s="2"/>
      <c r="X39" s="2">
        <f t="shared" si="10"/>
        <v>-1444671.48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181960</v>
      </c>
      <c r="E40" s="2"/>
      <c r="F40" s="22">
        <f t="shared" si="4"/>
        <v>0.97862224552070287</v>
      </c>
      <c r="G40" s="2"/>
      <c r="H40" s="2"/>
      <c r="I40" s="2"/>
      <c r="J40" s="22">
        <f t="shared" si="5"/>
        <v>0</v>
      </c>
      <c r="K40" s="2"/>
      <c r="L40" s="2">
        <f t="shared" si="6"/>
        <v>181960</v>
      </c>
      <c r="M40" s="2"/>
      <c r="N40" s="22">
        <f t="shared" si="7"/>
        <v>0</v>
      </c>
      <c r="O40" s="11"/>
      <c r="P40" s="2">
        <v>1504550</v>
      </c>
      <c r="Q40" s="2"/>
      <c r="R40" s="22">
        <f t="shared" si="8"/>
        <v>0.94597751911508998</v>
      </c>
      <c r="S40" s="2"/>
      <c r="T40" s="2"/>
      <c r="U40" s="2"/>
      <c r="V40" s="22">
        <f t="shared" si="9"/>
        <v>0</v>
      </c>
      <c r="W40" s="2"/>
      <c r="X40" s="2">
        <f t="shared" si="10"/>
        <v>1504550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31</v>
      </c>
      <c r="Q41" s="2"/>
      <c r="R41" s="22">
        <f t="shared" si="8"/>
        <v>1.9491079121709341E-5</v>
      </c>
      <c r="S41" s="2"/>
      <c r="T41" s="2"/>
      <c r="U41" s="2"/>
      <c r="V41" s="22">
        <f t="shared" si="9"/>
        <v>0</v>
      </c>
      <c r="W41" s="2"/>
      <c r="X41" s="2">
        <f t="shared" si="10"/>
        <v>31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>
        <v>31</v>
      </c>
      <c r="E42" s="2"/>
      <c r="F42" s="22">
        <f t="shared" si="4"/>
        <v>1.6672504732436684E-4</v>
      </c>
      <c r="G42" s="2"/>
      <c r="H42" s="2"/>
      <c r="I42" s="2"/>
      <c r="J42" s="22">
        <f t="shared" si="5"/>
        <v>0</v>
      </c>
      <c r="K42" s="2"/>
      <c r="L42" s="2">
        <f t="shared" si="6"/>
        <v>31</v>
      </c>
      <c r="M42" s="2"/>
      <c r="N42" s="22">
        <f t="shared" si="7"/>
        <v>0</v>
      </c>
      <c r="O42" s="11"/>
      <c r="P42" s="2">
        <v>125</v>
      </c>
      <c r="Q42" s="2"/>
      <c r="R42" s="22">
        <f t="shared" si="8"/>
        <v>7.8593060974634438E-5</v>
      </c>
      <c r="S42" s="2"/>
      <c r="T42" s="2"/>
      <c r="U42" s="2"/>
      <c r="V42" s="22">
        <f t="shared" si="9"/>
        <v>0</v>
      </c>
      <c r="W42" s="2"/>
      <c r="X42" s="2">
        <f t="shared" si="10"/>
        <v>125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242.46</v>
      </c>
      <c r="Q43" s="2"/>
      <c r="R43" s="22">
        <f t="shared" si="8"/>
        <v>1.5244538851127894E-4</v>
      </c>
      <c r="S43" s="2"/>
      <c r="T43" s="2"/>
      <c r="U43" s="2"/>
      <c r="V43" s="22">
        <f t="shared" si="9"/>
        <v>0</v>
      </c>
      <c r="W43" s="2"/>
      <c r="X43" s="2">
        <f t="shared" si="10"/>
        <v>242.46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4"/>
        <v>0</v>
      </c>
      <c r="G44" s="2"/>
      <c r="H44" s="2"/>
      <c r="I44" s="2"/>
      <c r="J44" s="22">
        <f t="shared" si="5"/>
        <v>0</v>
      </c>
      <c r="K44" s="2"/>
      <c r="L44" s="2">
        <f t="shared" si="6"/>
        <v>0</v>
      </c>
      <c r="M44" s="2"/>
      <c r="N44" s="22">
        <f t="shared" si="7"/>
        <v>0</v>
      </c>
      <c r="O44" s="11"/>
      <c r="P44" s="2">
        <v>24.12</v>
      </c>
      <c r="Q44" s="2"/>
      <c r="R44" s="22">
        <f t="shared" si="8"/>
        <v>1.5165317045665462E-5</v>
      </c>
      <c r="S44" s="2"/>
      <c r="T44" s="2"/>
      <c r="U44" s="2"/>
      <c r="V44" s="22">
        <f t="shared" si="9"/>
        <v>0</v>
      </c>
      <c r="W44" s="2"/>
      <c r="X44" s="2">
        <f t="shared" si="10"/>
        <v>24.12</v>
      </c>
      <c r="Y44" s="2"/>
      <c r="Z44" s="22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6</v>
      </c>
      <c r="C46" s="25"/>
      <c r="D46" s="19">
        <f>D12-D32</f>
        <v>3974.8699999999953</v>
      </c>
      <c r="E46" s="13"/>
      <c r="F46" s="21">
        <f>IF(D$12=0,0,D46/D$12)</f>
        <v>2.1377754479296945E-2</v>
      </c>
      <c r="G46" s="13"/>
      <c r="H46" s="19">
        <f>H12-H32</f>
        <v>24745</v>
      </c>
      <c r="I46" s="13"/>
      <c r="J46" s="21">
        <f>IF(H$12=0,0,H46/H$12)</f>
        <v>0.21903269778887177</v>
      </c>
      <c r="K46" s="15"/>
      <c r="L46" s="19">
        <f>+D46-H46</f>
        <v>-20770.130000000005</v>
      </c>
      <c r="M46" s="15"/>
      <c r="N46" s="21">
        <f>IF(H46=0,0,L46/H46)</f>
        <v>-0.83936674075570838</v>
      </c>
      <c r="O46" s="26"/>
      <c r="P46" s="19">
        <f>P12-P32</f>
        <v>81975.35999999987</v>
      </c>
      <c r="Q46" s="13"/>
      <c r="R46" s="21">
        <f>IF(P$12=0,0,P46/P$12)</f>
        <v>5.1541555735180787E-2</v>
      </c>
      <c r="S46" s="13"/>
      <c r="T46" s="19">
        <f>T12-T32</f>
        <v>379291</v>
      </c>
      <c r="U46" s="13"/>
      <c r="V46" s="21">
        <f>IF(T$12=0,0,T46/T$12)</f>
        <v>0.21903685022963898</v>
      </c>
      <c r="W46" s="15"/>
      <c r="X46" s="19">
        <f>+P46-T46</f>
        <v>-297315.64000000013</v>
      </c>
      <c r="Y46" s="15"/>
      <c r="Z46" s="21">
        <f>IF(T46=0,0,X46/T46)</f>
        <v>-0.78387211929626632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6" t="s">
        <v>9</v>
      </c>
      <c r="C48" s="10"/>
      <c r="D48" s="20">
        <f>SUM(OSRRefD22x_0)</f>
        <v>12623.33</v>
      </c>
      <c r="E48" s="20"/>
      <c r="F48" s="33">
        <f t="shared" ref="F48:F59" si="12">IF(D$12=0,0,D48/D$12)</f>
        <v>6.789113844003547E-2</v>
      </c>
      <c r="G48" s="20"/>
      <c r="H48" s="20">
        <f>SUM(OSRRefH22x_0)</f>
        <v>18701.237852846156</v>
      </c>
      <c r="I48" s="20"/>
      <c r="J48" s="33">
        <f t="shared" ref="J48:J59" si="13">IF(H$12=0,0,H48/H$12)</f>
        <v>0.1655357679895034</v>
      </c>
      <c r="K48" s="4"/>
      <c r="L48" s="20">
        <f t="shared" ref="L48:L59" si="14">+D48-H48</f>
        <v>-6077.9078528461559</v>
      </c>
      <c r="M48" s="4"/>
      <c r="N48" s="33">
        <f t="shared" ref="N48:N59" si="15">IF(H48=0,0,L48/H48)</f>
        <v>-0.32500029680768722</v>
      </c>
      <c r="O48" s="10"/>
      <c r="P48" s="20">
        <f>SUM(OSRRefP22x_0)</f>
        <v>107108.01999999999</v>
      </c>
      <c r="Q48" s="20"/>
      <c r="R48" s="33">
        <f t="shared" ref="R48:R59" si="16">IF(P$12=0,0,P48/P$12)</f>
        <v>6.7343577173858915E-2</v>
      </c>
      <c r="S48" s="20"/>
      <c r="T48" s="20">
        <f>SUM(OSRRefT22x_0)</f>
        <v>157270.45677950385</v>
      </c>
      <c r="U48" s="20"/>
      <c r="V48" s="33">
        <f t="shared" ref="V48:V59" si="17">IF(T$12=0,0,T48/T$12)</f>
        <v>9.0822153668711089E-2</v>
      </c>
      <c r="W48" s="4"/>
      <c r="X48" s="20">
        <f t="shared" ref="X48:X59" si="18">+P48-T48</f>
        <v>-50162.436779503856</v>
      </c>
      <c r="Y48" s="4"/>
      <c r="Z48" s="33">
        <f t="shared" ref="Z48:Z59" si="19">IF(T48=0,0,X48/T48)</f>
        <v>-0.31895651482612875</v>
      </c>
    </row>
    <row r="49" spans="1:26" s="28" customFormat="1" outlineLevel="1" collapsed="1" x14ac:dyDescent="0.25">
      <c r="A49" s="29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2731.1200000000003</v>
      </c>
      <c r="E49" s="1"/>
      <c r="F49" s="5">
        <f t="shared" si="12"/>
        <v>1.4688584233823382E-2</v>
      </c>
      <c r="G49" s="1"/>
      <c r="H49" s="1">
        <f>SUM(OSRRefH22_0x_0)</f>
        <v>2471.2478528461543</v>
      </c>
      <c r="I49" s="1"/>
      <c r="J49" s="5">
        <f t="shared" si="13"/>
        <v>2.187448309209335E-2</v>
      </c>
      <c r="K49" s="1"/>
      <c r="L49" s="1">
        <f t="shared" si="14"/>
        <v>259.87214715384607</v>
      </c>
      <c r="M49" s="1"/>
      <c r="N49" s="5">
        <f t="shared" si="15"/>
        <v>0.10515826927458911</v>
      </c>
      <c r="O49" s="14"/>
      <c r="P49" s="1">
        <f>SUM(OSRRefP22_0x_0)</f>
        <v>23297.929999999997</v>
      </c>
      <c r="Q49" s="1"/>
      <c r="R49" s="5">
        <f t="shared" si="16"/>
        <v>1.4648445064582117E-2</v>
      </c>
      <c r="S49" s="1"/>
      <c r="T49" s="1">
        <f>SUM(OSRRefT22_0x_0)</f>
        <v>21159.733109503843</v>
      </c>
      <c r="U49" s="1"/>
      <c r="V49" s="5">
        <f t="shared" si="17"/>
        <v>1.2219539329974945E-2</v>
      </c>
      <c r="W49" s="1"/>
      <c r="X49" s="1">
        <f t="shared" si="18"/>
        <v>2138.1968904961541</v>
      </c>
      <c r="Y49" s="1"/>
      <c r="Z49" s="5">
        <f t="shared" si="19"/>
        <v>0.10105027693075147</v>
      </c>
    </row>
    <row r="50" spans="1:26" s="24" customFormat="1" hidden="1" outlineLevel="2" x14ac:dyDescent="0.25">
      <c r="A50" s="27"/>
      <c r="B50" s="11" t="str">
        <f>CONCATENATE("          ", "6111", " - ", "F.I.C.A.")</f>
        <v xml:space="preserve">          6111 - F.I.C.A.</v>
      </c>
      <c r="C50" s="11"/>
      <c r="D50" s="7">
        <v>449.24</v>
      </c>
      <c r="E50" s="2"/>
      <c r="F50" s="6">
        <f t="shared" si="12"/>
        <v>2.4161148470967279E-3</v>
      </c>
      <c r="G50" s="2"/>
      <c r="H50" s="7">
        <v>425.68281899999999</v>
      </c>
      <c r="I50" s="2"/>
      <c r="J50" s="6">
        <f t="shared" si="13"/>
        <v>3.7679715598279251E-3</v>
      </c>
      <c r="K50" s="2"/>
      <c r="L50" s="7">
        <f t="shared" si="14"/>
        <v>23.557181000000014</v>
      </c>
      <c r="M50" s="2"/>
      <c r="N50" s="6">
        <f t="shared" si="15"/>
        <v>5.5339750510344218E-2</v>
      </c>
      <c r="O50" s="11"/>
      <c r="P50" s="7">
        <v>4288.84</v>
      </c>
      <c r="Q50" s="2"/>
      <c r="R50" s="6">
        <f t="shared" si="16"/>
        <v>2.6965845090436095E-3</v>
      </c>
      <c r="S50" s="2"/>
      <c r="T50" s="7">
        <v>4152.0681862499996</v>
      </c>
      <c r="U50" s="2"/>
      <c r="V50" s="6">
        <f t="shared" si="17"/>
        <v>2.397778849102378E-3</v>
      </c>
      <c r="W50" s="2"/>
      <c r="X50" s="7">
        <f t="shared" si="18"/>
        <v>136.77181375000055</v>
      </c>
      <c r="Y50" s="2"/>
      <c r="Z50" s="6">
        <f t="shared" si="19"/>
        <v>3.29406473147369E-2</v>
      </c>
    </row>
    <row r="51" spans="1:26" s="24" customFormat="1" hidden="1" outlineLevel="2" x14ac:dyDescent="0.25">
      <c r="A51" s="27"/>
      <c r="B51" s="11" t="str">
        <f>CONCATENATE("          ", "6112", " - ", "COMPENSATION INSURANCE")</f>
        <v xml:space="preserve">          6112 - COMPENSATION INSURANCE</v>
      </c>
      <c r="C51" s="11"/>
      <c r="D51" s="7">
        <v>145.49</v>
      </c>
      <c r="E51" s="2"/>
      <c r="F51" s="6">
        <f t="shared" si="12"/>
        <v>7.8247829468458497E-4</v>
      </c>
      <c r="G51" s="2"/>
      <c r="H51" s="7">
        <v>213.17179999999999</v>
      </c>
      <c r="I51" s="2"/>
      <c r="J51" s="6">
        <f t="shared" si="13"/>
        <v>1.8869102625382831E-3</v>
      </c>
      <c r="K51" s="2"/>
      <c r="L51" s="7">
        <f t="shared" si="14"/>
        <v>-67.681799999999981</v>
      </c>
      <c r="M51" s="2"/>
      <c r="N51" s="6">
        <f t="shared" si="15"/>
        <v>-0.31749884365568048</v>
      </c>
      <c r="O51" s="11"/>
      <c r="P51" s="7">
        <v>1174.21</v>
      </c>
      <c r="Q51" s="2"/>
      <c r="R51" s="6">
        <f t="shared" si="16"/>
        <v>7.382780650162041E-4</v>
      </c>
      <c r="S51" s="2"/>
      <c r="T51" s="7">
        <v>1680.4689785</v>
      </c>
      <c r="U51" s="2"/>
      <c r="V51" s="6">
        <f t="shared" si="17"/>
        <v>9.7045443197771352E-4</v>
      </c>
      <c r="W51" s="2"/>
      <c r="X51" s="7">
        <f t="shared" si="18"/>
        <v>-506.25897850000001</v>
      </c>
      <c r="Y51" s="2"/>
      <c r="Z51" s="6">
        <f t="shared" si="19"/>
        <v>-0.30126053201642006</v>
      </c>
    </row>
    <row r="52" spans="1:26" s="24" customFormat="1" hidden="1" outlineLevel="2" x14ac:dyDescent="0.25">
      <c r="A52" s="27"/>
      <c r="B52" s="11" t="str">
        <f>CONCATENATE("          ", "6113", " - ", "GROUP INSURANCE")</f>
        <v xml:space="preserve">          6113 - GROUP INSURANCE</v>
      </c>
      <c r="C52" s="11"/>
      <c r="D52" s="7">
        <v>1053.8499999999999</v>
      </c>
      <c r="E52" s="2"/>
      <c r="F52" s="6">
        <f t="shared" si="12"/>
        <v>5.6678448749285151E-3</v>
      </c>
      <c r="G52" s="2"/>
      <c r="H52" s="7">
        <v>946.34615384615404</v>
      </c>
      <c r="I52" s="2"/>
      <c r="J52" s="6">
        <f t="shared" si="13"/>
        <v>8.3766721001837068E-3</v>
      </c>
      <c r="K52" s="2"/>
      <c r="L52" s="7">
        <f t="shared" si="14"/>
        <v>107.50384615384587</v>
      </c>
      <c r="M52" s="2"/>
      <c r="N52" s="6">
        <f t="shared" si="15"/>
        <v>0.11359886201991433</v>
      </c>
      <c r="O52" s="11"/>
      <c r="P52" s="7">
        <v>8322.48</v>
      </c>
      <c r="Q52" s="2"/>
      <c r="R52" s="6">
        <f t="shared" si="16"/>
        <v>5.2327134248014049E-3</v>
      </c>
      <c r="S52" s="2"/>
      <c r="T52" s="7">
        <v>8031.1538461538403</v>
      </c>
      <c r="U52" s="2"/>
      <c r="V52" s="6">
        <f t="shared" si="17"/>
        <v>4.6379129538301408E-3</v>
      </c>
      <c r="W52" s="2"/>
      <c r="X52" s="7">
        <f t="shared" si="18"/>
        <v>291.32615384615929</v>
      </c>
      <c r="Y52" s="2"/>
      <c r="Z52" s="6">
        <f t="shared" si="19"/>
        <v>3.6274507925866326E-2</v>
      </c>
    </row>
    <row r="53" spans="1:26" s="24" customFormat="1" hidden="1" outlineLevel="2" x14ac:dyDescent="0.25">
      <c r="A53" s="27"/>
      <c r="B53" s="11" t="str">
        <f>CONCATENATE("          ", "6114", " - ", "STATE UNEMPLOYMENT INSURANCE")</f>
        <v xml:space="preserve">          6114 - STATE UNEMPLOYMENT INSURANCE</v>
      </c>
      <c r="C53" s="11"/>
      <c r="D53" s="7">
        <v>20.45</v>
      </c>
      <c r="E53" s="2"/>
      <c r="F53" s="6">
        <f t="shared" si="12"/>
        <v>1.0998474896075166E-4</v>
      </c>
      <c r="G53" s="2"/>
      <c r="H53" s="7">
        <v>29.95928</v>
      </c>
      <c r="I53" s="2"/>
      <c r="J53" s="6">
        <f t="shared" si="13"/>
        <v>2.6518738824862358E-4</v>
      </c>
      <c r="K53" s="2"/>
      <c r="L53" s="7">
        <f t="shared" si="14"/>
        <v>-9.5092800000000004</v>
      </c>
      <c r="M53" s="2"/>
      <c r="N53" s="6">
        <f t="shared" si="15"/>
        <v>-0.31740682686633326</v>
      </c>
      <c r="O53" s="11"/>
      <c r="P53" s="7">
        <v>179.73</v>
      </c>
      <c r="Q53" s="2"/>
      <c r="R53" s="6">
        <f t="shared" si="16"/>
        <v>1.1300424679176837E-4</v>
      </c>
      <c r="S53" s="2"/>
      <c r="T53" s="7">
        <v>236.17401860000001</v>
      </c>
      <c r="U53" s="2"/>
      <c r="V53" s="6">
        <f t="shared" si="17"/>
        <v>1.3638819044011109E-4</v>
      </c>
      <c r="W53" s="2"/>
      <c r="X53" s="7">
        <f t="shared" si="18"/>
        <v>-56.444018600000021</v>
      </c>
      <c r="Y53" s="2"/>
      <c r="Z53" s="6">
        <f t="shared" si="19"/>
        <v>-0.23899334454564775</v>
      </c>
    </row>
    <row r="54" spans="1:26" s="24" customFormat="1" hidden="1" outlineLevel="2" x14ac:dyDescent="0.25">
      <c r="A54" s="27"/>
      <c r="B54" s="11" t="str">
        <f>CONCATENATE("          ", "6115", " - ", "P.E.R.S.")</f>
        <v xml:space="preserve">          6115 - P.E.R.S.</v>
      </c>
      <c r="C54" s="11"/>
      <c r="D54" s="7">
        <v>176.42</v>
      </c>
      <c r="E54" s="2"/>
      <c r="F54" s="6">
        <f t="shared" si="12"/>
        <v>9.4882686609563862E-4</v>
      </c>
      <c r="G54" s="2"/>
      <c r="H54" s="7">
        <v>196.27780000000001</v>
      </c>
      <c r="I54" s="2"/>
      <c r="J54" s="6">
        <f t="shared" si="13"/>
        <v>1.7373714305946501E-3</v>
      </c>
      <c r="K54" s="2"/>
      <c r="L54" s="7">
        <f t="shared" si="14"/>
        <v>-19.857800000000026</v>
      </c>
      <c r="M54" s="2"/>
      <c r="N54" s="6">
        <f t="shared" si="15"/>
        <v>-0.10117191042491827</v>
      </c>
      <c r="O54" s="11"/>
      <c r="P54" s="7">
        <v>1587.78</v>
      </c>
      <c r="Q54" s="2"/>
      <c r="R54" s="6">
        <f t="shared" si="16"/>
        <v>9.9830792283444052E-4</v>
      </c>
      <c r="S54" s="2"/>
      <c r="T54" s="7">
        <v>1717.43075</v>
      </c>
      <c r="U54" s="2"/>
      <c r="V54" s="6">
        <f t="shared" si="17"/>
        <v>9.9179949423404867E-4</v>
      </c>
      <c r="W54" s="2"/>
      <c r="X54" s="7">
        <f t="shared" si="18"/>
        <v>-129.65075000000002</v>
      </c>
      <c r="Y54" s="2"/>
      <c r="Z54" s="6">
        <f t="shared" si="19"/>
        <v>-7.5491107865630111E-2</v>
      </c>
    </row>
    <row r="55" spans="1:26" s="24" customFormat="1" hidden="1" outlineLevel="2" x14ac:dyDescent="0.25">
      <c r="A55" s="27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25">
      <c r="A56" s="27"/>
      <c r="B56" s="11" t="str">
        <f>CONCATENATE("          ", "6117", " - ", "RETIREMENT STAFF HOURLY")</f>
        <v xml:space="preserve">          6117 - RETIREMENT STAFF HOURLY</v>
      </c>
      <c r="C56" s="11"/>
      <c r="D56" s="7">
        <v>176</v>
      </c>
      <c r="E56" s="2"/>
      <c r="F56" s="6">
        <f t="shared" si="12"/>
        <v>9.4656801061576007E-4</v>
      </c>
      <c r="G56" s="2"/>
      <c r="H56" s="7"/>
      <c r="I56" s="2"/>
      <c r="J56" s="6">
        <f t="shared" si="13"/>
        <v>0</v>
      </c>
      <c r="K56" s="2"/>
      <c r="L56" s="7">
        <f t="shared" si="14"/>
        <v>176</v>
      </c>
      <c r="M56" s="2"/>
      <c r="N56" s="6">
        <f t="shared" si="15"/>
        <v>0</v>
      </c>
      <c r="O56" s="11"/>
      <c r="P56" s="7">
        <v>1457.04</v>
      </c>
      <c r="Q56" s="2"/>
      <c r="R56" s="6">
        <f t="shared" si="16"/>
        <v>9.1610586849985088E-4</v>
      </c>
      <c r="S56" s="2"/>
      <c r="T56" s="7"/>
      <c r="U56" s="2"/>
      <c r="V56" s="6">
        <f t="shared" si="17"/>
        <v>0</v>
      </c>
      <c r="W56" s="2"/>
      <c r="X56" s="7">
        <f t="shared" si="18"/>
        <v>1457.04</v>
      </c>
      <c r="Y56" s="2"/>
      <c r="Z56" s="6">
        <f t="shared" si="19"/>
        <v>0</v>
      </c>
    </row>
    <row r="57" spans="1:26" s="24" customFormat="1" hidden="1" outlineLevel="2" x14ac:dyDescent="0.25">
      <c r="A57" s="27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2"/>
        <v>1.4362018270160943E-3</v>
      </c>
      <c r="G57" s="2"/>
      <c r="H57" s="7">
        <v>194.749</v>
      </c>
      <c r="I57" s="2"/>
      <c r="J57" s="6">
        <f t="shared" si="13"/>
        <v>1.7238391134243277E-3</v>
      </c>
      <c r="K57" s="2"/>
      <c r="L57" s="7">
        <f t="shared" si="14"/>
        <v>72.291000000000025</v>
      </c>
      <c r="M57" s="2"/>
      <c r="N57" s="6">
        <f t="shared" si="15"/>
        <v>0.37120087908025218</v>
      </c>
      <c r="O57" s="11"/>
      <c r="P57" s="7">
        <v>2223.62</v>
      </c>
      <c r="Q57" s="2"/>
      <c r="R57" s="6">
        <f t="shared" si="16"/>
        <v>1.398088817955333E-3</v>
      </c>
      <c r="S57" s="2"/>
      <c r="T57" s="7">
        <v>1704.05375</v>
      </c>
      <c r="U57" s="2"/>
      <c r="V57" s="6">
        <f t="shared" si="17"/>
        <v>9.8407440730733059E-4</v>
      </c>
      <c r="W57" s="2"/>
      <c r="X57" s="7">
        <f t="shared" si="18"/>
        <v>519.56624999999985</v>
      </c>
      <c r="Y57" s="2"/>
      <c r="Z57" s="6">
        <f t="shared" si="19"/>
        <v>0.30490015353095512</v>
      </c>
    </row>
    <row r="58" spans="1:26" s="24" customFormat="1" hidden="1" outlineLevel="2" x14ac:dyDescent="0.25">
      <c r="A58" s="27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2"/>
        <v>1.4393749811425901E-3</v>
      </c>
      <c r="G58" s="2"/>
      <c r="H58" s="7">
        <v>290.06099999999998</v>
      </c>
      <c r="I58" s="2"/>
      <c r="J58" s="6">
        <f t="shared" si="13"/>
        <v>2.5675022571565137E-3</v>
      </c>
      <c r="K58" s="2"/>
      <c r="L58" s="7">
        <f t="shared" si="14"/>
        <v>-22.430999999999983</v>
      </c>
      <c r="M58" s="2"/>
      <c r="N58" s="6">
        <f t="shared" si="15"/>
        <v>-7.7332009473869243E-2</v>
      </c>
      <c r="O58" s="11"/>
      <c r="P58" s="7">
        <v>2219.5500000000002</v>
      </c>
      <c r="Q58" s="2"/>
      <c r="R58" s="6">
        <f t="shared" si="16"/>
        <v>1.3955298278899991E-3</v>
      </c>
      <c r="S58" s="2"/>
      <c r="T58" s="7">
        <v>2238.3835800000002</v>
      </c>
      <c r="U58" s="2"/>
      <c r="V58" s="6">
        <f t="shared" si="17"/>
        <v>1.2926446685234904E-3</v>
      </c>
      <c r="W58" s="2"/>
      <c r="X58" s="7">
        <f t="shared" si="18"/>
        <v>-18.833579999999984</v>
      </c>
      <c r="Y58" s="2"/>
      <c r="Z58" s="6">
        <f t="shared" si="19"/>
        <v>-8.4139198340616762E-3</v>
      </c>
    </row>
    <row r="59" spans="1:26" s="24" customFormat="1" hidden="1" outlineLevel="2" x14ac:dyDescent="0.25">
      <c r="A59" s="27"/>
      <c r="B59" s="11" t="str">
        <f>CONCATENATE("          ", "6156", " - ", "EMPLOYEE MEALS")</f>
        <v xml:space="preserve">          6156 - EMPLOYEE MEALS</v>
      </c>
      <c r="C59" s="11"/>
      <c r="D59" s="7">
        <v>175</v>
      </c>
      <c r="E59" s="2"/>
      <c r="F59" s="6">
        <f t="shared" si="12"/>
        <v>9.4118978328271608E-4</v>
      </c>
      <c r="G59" s="2"/>
      <c r="H59" s="7">
        <v>175</v>
      </c>
      <c r="I59" s="2"/>
      <c r="J59" s="6">
        <f t="shared" si="13"/>
        <v>1.5490289801193195E-3</v>
      </c>
      <c r="K59" s="2"/>
      <c r="L59" s="7">
        <f t="shared" si="14"/>
        <v>0</v>
      </c>
      <c r="M59" s="2"/>
      <c r="N59" s="6">
        <f t="shared" si="15"/>
        <v>0</v>
      </c>
      <c r="O59" s="11"/>
      <c r="P59" s="7">
        <v>1844.68</v>
      </c>
      <c r="Q59" s="2"/>
      <c r="R59" s="6">
        <f t="shared" si="16"/>
        <v>1.1598323817495094E-3</v>
      </c>
      <c r="S59" s="2"/>
      <c r="T59" s="7">
        <v>1400</v>
      </c>
      <c r="U59" s="2"/>
      <c r="V59" s="6">
        <f t="shared" si="17"/>
        <v>8.0848633455973015E-4</v>
      </c>
      <c r="W59" s="2"/>
      <c r="X59" s="7">
        <f t="shared" si="18"/>
        <v>444.68000000000006</v>
      </c>
      <c r="Y59" s="2"/>
      <c r="Z59" s="6">
        <f t="shared" si="19"/>
        <v>0.31762857142857148</v>
      </c>
    </row>
    <row r="60" spans="1:26" s="28" customFormat="1" outlineLevel="1" collapsed="1" x14ac:dyDescent="0.25">
      <c r="A60" s="29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8014.16</v>
      </c>
      <c r="E60" s="1"/>
      <c r="F60" s="5">
        <f t="shared" ref="F60:F70" si="20">IF(D$12=0,0,D60/D$12)</f>
        <v>4.3101974363388633E-2</v>
      </c>
      <c r="G60" s="1"/>
      <c r="H60" s="1">
        <f>SUM(OSRRefH22_1x_0)</f>
        <v>11037.990000000002</v>
      </c>
      <c r="I60" s="1"/>
      <c r="J60" s="5">
        <f t="shared" ref="J60:J70" si="21">IF(H$12=0,0,H60/H$12)</f>
        <v>9.7703807955812849E-2</v>
      </c>
      <c r="K60" s="1"/>
      <c r="L60" s="1">
        <f t="shared" ref="L60:L70" si="22">+D60-H60</f>
        <v>-3023.8300000000017</v>
      </c>
      <c r="M60" s="1"/>
      <c r="N60" s="5">
        <f t="shared" ref="N60:N70" si="23">IF(H60=0,0,L60/H60)</f>
        <v>-0.27394752124254518</v>
      </c>
      <c r="O60" s="14"/>
      <c r="P60" s="1">
        <f>SUM(OSRRefP22_1x_0)</f>
        <v>65405.460000000006</v>
      </c>
      <c r="Q60" s="1"/>
      <c r="R60" s="5">
        <f t="shared" ref="R60:R70" si="24">IF(P$12=0,0,P60/P$12)</f>
        <v>4.1123322446832117E-2</v>
      </c>
      <c r="S60" s="1"/>
      <c r="T60" s="1">
        <f>SUM(OSRRefT22_1x_0)</f>
        <v>86893.723669999992</v>
      </c>
      <c r="U60" s="1"/>
      <c r="V60" s="5">
        <f t="shared" ref="V60:V70" si="25">IF(T$12=0,0,T60/T$12)</f>
        <v>5.0180277247288824E-2</v>
      </c>
      <c r="W60" s="1"/>
      <c r="X60" s="1">
        <f t="shared" ref="X60:X70" si="26">+P60-T60</f>
        <v>-21488.263669999986</v>
      </c>
      <c r="Y60" s="1"/>
      <c r="Z60" s="5">
        <f t="shared" ref="Z60:Z70" si="27">IF(T60=0,0,X60/T60)</f>
        <v>-0.24729362216777453</v>
      </c>
    </row>
    <row r="61" spans="1:26" s="24" customFormat="1" hidden="1" outlineLevel="2" x14ac:dyDescent="0.25">
      <c r="A61" s="27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7"/>
      <c r="B62" s="11" t="str">
        <f>CONCATENATE("          ", "6002", " - ", "STAFF SALARIES")</f>
        <v xml:space="preserve">          6002 - STAFF SALARIES</v>
      </c>
      <c r="C62" s="11"/>
      <c r="D62" s="7">
        <v>2357.3000000000002</v>
      </c>
      <c r="E62" s="2"/>
      <c r="F62" s="6">
        <f t="shared" si="20"/>
        <v>1.2678095292184837E-2</v>
      </c>
      <c r="G62" s="2"/>
      <c r="H62" s="7">
        <v>2168.1849999999999</v>
      </c>
      <c r="I62" s="2"/>
      <c r="J62" s="6">
        <f t="shared" si="21"/>
        <v>1.9191893710057181E-2</v>
      </c>
      <c r="K62" s="2"/>
      <c r="L62" s="7">
        <f t="shared" si="22"/>
        <v>189.11500000000024</v>
      </c>
      <c r="M62" s="2"/>
      <c r="N62" s="6">
        <f t="shared" si="23"/>
        <v>8.7222723153236578E-2</v>
      </c>
      <c r="O62" s="11"/>
      <c r="P62" s="7">
        <v>18522.95</v>
      </c>
      <c r="Q62" s="2"/>
      <c r="R62" s="6">
        <f t="shared" si="24"/>
        <v>1.164620271024084E-2</v>
      </c>
      <c r="S62" s="2"/>
      <c r="T62" s="7">
        <v>18971.618749999998</v>
      </c>
      <c r="U62" s="2"/>
      <c r="V62" s="6">
        <f t="shared" si="25"/>
        <v>1.0955924645608676E-2</v>
      </c>
      <c r="W62" s="2"/>
      <c r="X62" s="7">
        <f t="shared" si="26"/>
        <v>-448.66874999999709</v>
      </c>
      <c r="Y62" s="2"/>
      <c r="Z62" s="6">
        <f t="shared" si="27"/>
        <v>-2.3649471134348888E-2</v>
      </c>
    </row>
    <row r="63" spans="1:26" s="24" customFormat="1" hidden="1" outlineLevel="2" x14ac:dyDescent="0.25">
      <c r="A63" s="27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7"/>
      <c r="B64" s="11" t="str">
        <f>CONCATENATE("          ", "6004", " - ", "STAFF HOURLY")</f>
        <v xml:space="preserve">          6004 - STAFF HOURLY</v>
      </c>
      <c r="C64" s="11"/>
      <c r="D64" s="7">
        <v>3520</v>
      </c>
      <c r="E64" s="2"/>
      <c r="F64" s="6">
        <f t="shared" si="20"/>
        <v>1.8931360212315201E-2</v>
      </c>
      <c r="G64" s="2"/>
      <c r="H64" s="7">
        <v>3088.12</v>
      </c>
      <c r="I64" s="2"/>
      <c r="J64" s="6">
        <f t="shared" si="21"/>
        <v>2.733478499477756E-2</v>
      </c>
      <c r="K64" s="2"/>
      <c r="L64" s="7">
        <f t="shared" si="22"/>
        <v>431.88000000000011</v>
      </c>
      <c r="M64" s="2"/>
      <c r="N64" s="6">
        <f t="shared" si="23"/>
        <v>0.13985207828711324</v>
      </c>
      <c r="O64" s="11"/>
      <c r="P64" s="7">
        <v>28200.16</v>
      </c>
      <c r="Q64" s="2"/>
      <c r="R64" s="6">
        <f t="shared" si="24"/>
        <v>1.7730695154995577E-2</v>
      </c>
      <c r="S64" s="2"/>
      <c r="T64" s="7">
        <v>27021.05</v>
      </c>
      <c r="U64" s="2"/>
      <c r="V64" s="6">
        <f t="shared" si="25"/>
        <v>1.5604392621753711E-2</v>
      </c>
      <c r="W64" s="2"/>
      <c r="X64" s="7">
        <f t="shared" si="26"/>
        <v>1179.1100000000006</v>
      </c>
      <c r="Y64" s="2"/>
      <c r="Z64" s="6">
        <f t="shared" si="27"/>
        <v>4.3636720260685671E-2</v>
      </c>
    </row>
    <row r="65" spans="1:26" s="24" customFormat="1" hidden="1" outlineLevel="2" x14ac:dyDescent="0.25">
      <c r="A65" s="27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7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25">
      <c r="A67" s="27"/>
      <c r="B67" s="11" t="str">
        <f>CONCATENATE("          ", "6007", " - ", "STUDENT HOURLY")</f>
        <v xml:space="preserve">          6007 - STUDENT HOURLY</v>
      </c>
      <c r="C67" s="11"/>
      <c r="D67" s="7">
        <v>2136.86</v>
      </c>
      <c r="E67" s="2"/>
      <c r="F67" s="6">
        <f t="shared" si="20"/>
        <v>1.1492518858888598E-2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2136.86</v>
      </c>
      <c r="M67" s="2"/>
      <c r="N67" s="6">
        <f t="shared" si="23"/>
        <v>0</v>
      </c>
      <c r="O67" s="11"/>
      <c r="P67" s="7">
        <v>18682.350000000002</v>
      </c>
      <c r="Q67" s="2"/>
      <c r="R67" s="6">
        <f t="shared" si="24"/>
        <v>1.1746424581595695E-2</v>
      </c>
      <c r="S67" s="2"/>
      <c r="T67" s="7">
        <v>5416.48</v>
      </c>
      <c r="U67" s="2"/>
      <c r="V67" s="6">
        <f t="shared" si="25"/>
        <v>3.1279643295829191E-3</v>
      </c>
      <c r="W67" s="2"/>
      <c r="X67" s="7">
        <f t="shared" si="26"/>
        <v>13265.870000000003</v>
      </c>
      <c r="Y67" s="2"/>
      <c r="Z67" s="6">
        <f t="shared" si="27"/>
        <v>2.4491680944081771</v>
      </c>
    </row>
    <row r="68" spans="1:26" s="24" customFormat="1" hidden="1" outlineLevel="2" x14ac:dyDescent="0.25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5781.6850000000004</v>
      </c>
      <c r="I68" s="2"/>
      <c r="J68" s="6">
        <f t="shared" si="21"/>
        <v>5.1177129250978108E-2</v>
      </c>
      <c r="K68" s="2"/>
      <c r="L68" s="7">
        <f t="shared" si="22"/>
        <v>-5781.6850000000004</v>
      </c>
      <c r="M68" s="2"/>
      <c r="N68" s="6">
        <f t="shared" si="23"/>
        <v>-1</v>
      </c>
      <c r="O68" s="11"/>
      <c r="P68" s="7"/>
      <c r="Q68" s="2"/>
      <c r="R68" s="6">
        <f t="shared" si="24"/>
        <v>0</v>
      </c>
      <c r="S68" s="2"/>
      <c r="T68" s="7">
        <v>35484.574919999999</v>
      </c>
      <c r="U68" s="2"/>
      <c r="V68" s="6">
        <f t="shared" si="25"/>
        <v>2.0491995650343521E-2</v>
      </c>
      <c r="W68" s="2"/>
      <c r="X68" s="7">
        <f t="shared" si="26"/>
        <v>-35484.574919999999</v>
      </c>
      <c r="Y68" s="2"/>
      <c r="Z68" s="6">
        <f t="shared" si="27"/>
        <v>-1</v>
      </c>
    </row>
    <row r="69" spans="1:26" s="24" customFormat="1" hidden="1" outlineLevel="2" x14ac:dyDescent="0.25">
      <c r="A69" s="27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7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8" customFormat="1" outlineLevel="1" collapsed="1" x14ac:dyDescent="0.25">
      <c r="A71" s="29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81" si="28">IF(D$12=0,0,D71/D$12)</f>
        <v>0</v>
      </c>
      <c r="G71" s="1"/>
      <c r="H71" s="1">
        <f>SUM(OSRRefH22_2x_0)</f>
        <v>200</v>
      </c>
      <c r="I71" s="1"/>
      <c r="J71" s="5">
        <f t="shared" ref="J71:J81" si="29">IF(H$12=0,0,H71/H$12)</f>
        <v>1.7703188344220795E-3</v>
      </c>
      <c r="K71" s="1"/>
      <c r="L71" s="1">
        <f t="shared" ref="L71:L81" si="30">+D71-H71</f>
        <v>-200</v>
      </c>
      <c r="M71" s="1"/>
      <c r="N71" s="5">
        <f t="shared" ref="N71:N81" si="31">IF(H71=0,0,L71/H71)</f>
        <v>-1</v>
      </c>
      <c r="O71" s="14"/>
      <c r="P71" s="1">
        <f>SUM(OSRRefP22_2x_0)</f>
        <v>598.92999999999995</v>
      </c>
      <c r="Q71" s="1"/>
      <c r="R71" s="5">
        <f t="shared" ref="R71:R81" si="32">IF(P$12=0,0,P71/P$12)</f>
        <v>3.7657393607630241E-4</v>
      </c>
      <c r="S71" s="1"/>
      <c r="T71" s="1">
        <f>SUM(OSRRefT22_2x_0)</f>
        <v>1600</v>
      </c>
      <c r="U71" s="1"/>
      <c r="V71" s="5">
        <f t="shared" ref="V71:V81" si="33">IF(T$12=0,0,T71/T$12)</f>
        <v>9.2398438235397724E-4</v>
      </c>
      <c r="W71" s="1"/>
      <c r="X71" s="1">
        <f t="shared" ref="X71:X81" si="34">+P71-T71</f>
        <v>-1001.07</v>
      </c>
      <c r="Y71" s="1"/>
      <c r="Z71" s="5">
        <f t="shared" ref="Z71:Z81" si="35">IF(T71=0,0,X71/T71)</f>
        <v>-0.62566875</v>
      </c>
    </row>
    <row r="72" spans="1:26" s="24" customFormat="1" hidden="1" outlineLevel="2" x14ac:dyDescent="0.25">
      <c r="A72" s="27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28"/>
        <v>0</v>
      </c>
      <c r="G72" s="2"/>
      <c r="H72" s="7">
        <v>200</v>
      </c>
      <c r="I72" s="2"/>
      <c r="J72" s="6">
        <f t="shared" si="29"/>
        <v>1.7703188344220795E-3</v>
      </c>
      <c r="K72" s="2"/>
      <c r="L72" s="7">
        <f t="shared" si="30"/>
        <v>-200</v>
      </c>
      <c r="M72" s="2"/>
      <c r="N72" s="6">
        <f t="shared" si="31"/>
        <v>-1</v>
      </c>
      <c r="O72" s="11"/>
      <c r="P72" s="7">
        <v>598.92999999999995</v>
      </c>
      <c r="Q72" s="2"/>
      <c r="R72" s="6">
        <f t="shared" si="32"/>
        <v>3.7657393607630241E-4</v>
      </c>
      <c r="S72" s="2"/>
      <c r="T72" s="7">
        <v>1600</v>
      </c>
      <c r="U72" s="2"/>
      <c r="V72" s="6">
        <f t="shared" si="33"/>
        <v>9.2398438235397724E-4</v>
      </c>
      <c r="W72" s="2"/>
      <c r="X72" s="7">
        <f t="shared" si="34"/>
        <v>-1001.07</v>
      </c>
      <c r="Y72" s="2"/>
      <c r="Z72" s="6">
        <f t="shared" si="35"/>
        <v>-0.62566875</v>
      </c>
    </row>
    <row r="73" spans="1:26" s="28" customFormat="1" outlineLevel="1" collapsed="1" x14ac:dyDescent="0.25">
      <c r="A73" s="29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1.5082700732788851E-3</v>
      </c>
      <c r="G73" s="1"/>
      <c r="H73" s="1">
        <f>SUM(OSRRefH22_3x_0)</f>
        <v>300</v>
      </c>
      <c r="I73" s="1"/>
      <c r="J73" s="5">
        <f t="shared" si="29"/>
        <v>2.655478251633119E-3</v>
      </c>
      <c r="K73" s="1"/>
      <c r="L73" s="1">
        <f t="shared" si="30"/>
        <v>-19.560000000000002</v>
      </c>
      <c r="M73" s="1"/>
      <c r="N73" s="5">
        <f t="shared" si="31"/>
        <v>-6.5200000000000008E-2</v>
      </c>
      <c r="O73" s="14"/>
      <c r="P73" s="1">
        <f>SUM(OSRRefP22_3x_0)</f>
        <v>2243.52</v>
      </c>
      <c r="Q73" s="1"/>
      <c r="R73" s="5">
        <f t="shared" si="32"/>
        <v>1.4106008332624947E-3</v>
      </c>
      <c r="S73" s="1"/>
      <c r="T73" s="1">
        <f>SUM(OSRRefT22_3x_0)</f>
        <v>2400</v>
      </c>
      <c r="U73" s="1"/>
      <c r="V73" s="5">
        <f t="shared" si="33"/>
        <v>1.3859765735309659E-3</v>
      </c>
      <c r="W73" s="1"/>
      <c r="X73" s="1">
        <f t="shared" si="34"/>
        <v>-156.48000000000002</v>
      </c>
      <c r="Y73" s="1"/>
      <c r="Z73" s="5">
        <f t="shared" si="35"/>
        <v>-6.5200000000000008E-2</v>
      </c>
    </row>
    <row r="74" spans="1:26" s="24" customFormat="1" hidden="1" outlineLevel="2" x14ac:dyDescent="0.25">
      <c r="A74" s="27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1.5082700732788851E-3</v>
      </c>
      <c r="G74" s="2"/>
      <c r="H74" s="7">
        <v>300</v>
      </c>
      <c r="I74" s="2"/>
      <c r="J74" s="6">
        <f t="shared" si="29"/>
        <v>2.655478251633119E-3</v>
      </c>
      <c r="K74" s="2"/>
      <c r="L74" s="7">
        <f t="shared" si="30"/>
        <v>-19.560000000000002</v>
      </c>
      <c r="M74" s="2"/>
      <c r="N74" s="6">
        <f t="shared" si="31"/>
        <v>-6.5200000000000008E-2</v>
      </c>
      <c r="O74" s="11"/>
      <c r="P74" s="7">
        <v>2243.52</v>
      </c>
      <c r="Q74" s="2"/>
      <c r="R74" s="6">
        <f t="shared" si="32"/>
        <v>1.4106008332624947E-3</v>
      </c>
      <c r="S74" s="2"/>
      <c r="T74" s="7">
        <v>2400</v>
      </c>
      <c r="U74" s="2"/>
      <c r="V74" s="6">
        <f t="shared" si="33"/>
        <v>1.3859765735309659E-3</v>
      </c>
      <c r="W74" s="2"/>
      <c r="X74" s="7">
        <f t="shared" si="34"/>
        <v>-156.48000000000002</v>
      </c>
      <c r="Y74" s="2"/>
      <c r="Z74" s="6">
        <f t="shared" si="35"/>
        <v>-6.5200000000000008E-2</v>
      </c>
    </row>
    <row r="75" spans="1:26" s="28" customFormat="1" outlineLevel="1" collapsed="1" x14ac:dyDescent="0.25">
      <c r="A75" s="29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8"/>
        <v>0</v>
      </c>
      <c r="G75" s="1"/>
      <c r="H75" s="1">
        <f>SUM(OSRRefH22_4x_0)</f>
        <v>1797</v>
      </c>
      <c r="I75" s="1"/>
      <c r="J75" s="5">
        <f t="shared" si="29"/>
        <v>1.5906314727282385E-2</v>
      </c>
      <c r="K75" s="1"/>
      <c r="L75" s="1">
        <f t="shared" si="30"/>
        <v>-1797</v>
      </c>
      <c r="M75" s="1"/>
      <c r="N75" s="5">
        <f t="shared" si="31"/>
        <v>-1</v>
      </c>
      <c r="O75" s="14"/>
      <c r="P75" s="1">
        <f>SUM(OSRRefP22_4x_0)</f>
        <v>0</v>
      </c>
      <c r="Q75" s="1"/>
      <c r="R75" s="5">
        <f t="shared" si="32"/>
        <v>0</v>
      </c>
      <c r="S75" s="1"/>
      <c r="T75" s="1">
        <f>SUM(OSRRefT22_4x_0)</f>
        <v>27542</v>
      </c>
      <c r="U75" s="1"/>
      <c r="V75" s="5">
        <f t="shared" si="33"/>
        <v>1.5905236161745776E-2</v>
      </c>
      <c r="W75" s="1"/>
      <c r="X75" s="1">
        <f t="shared" si="34"/>
        <v>-27542</v>
      </c>
      <c r="Y75" s="1"/>
      <c r="Z75" s="5">
        <f t="shared" si="35"/>
        <v>-1</v>
      </c>
    </row>
    <row r="76" spans="1:26" s="24" customFormat="1" hidden="1" outlineLevel="2" x14ac:dyDescent="0.25">
      <c r="A76" s="27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8"/>
        <v>0</v>
      </c>
      <c r="G76" s="2"/>
      <c r="H76" s="7">
        <v>1797</v>
      </c>
      <c r="I76" s="2"/>
      <c r="J76" s="6">
        <f t="shared" si="29"/>
        <v>1.5906314727282385E-2</v>
      </c>
      <c r="K76" s="2"/>
      <c r="L76" s="7">
        <f t="shared" si="30"/>
        <v>-1797</v>
      </c>
      <c r="M76" s="2"/>
      <c r="N76" s="6">
        <f t="shared" si="31"/>
        <v>-1</v>
      </c>
      <c r="O76" s="11"/>
      <c r="P76" s="7"/>
      <c r="Q76" s="2"/>
      <c r="R76" s="6">
        <f t="shared" si="32"/>
        <v>0</v>
      </c>
      <c r="S76" s="2"/>
      <c r="T76" s="7">
        <v>27542</v>
      </c>
      <c r="U76" s="2"/>
      <c r="V76" s="6">
        <f t="shared" si="33"/>
        <v>1.5905236161745776E-2</v>
      </c>
      <c r="W76" s="2"/>
      <c r="X76" s="7">
        <f t="shared" si="34"/>
        <v>-27542</v>
      </c>
      <c r="Y76" s="2"/>
      <c r="Z76" s="6">
        <f t="shared" si="35"/>
        <v>-1</v>
      </c>
    </row>
    <row r="77" spans="1:26" s="28" customFormat="1" outlineLevel="1" collapsed="1" x14ac:dyDescent="0.25">
      <c r="A77" s="29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20</v>
      </c>
      <c r="I77" s="1"/>
      <c r="J77" s="5">
        <f t="shared" si="29"/>
        <v>1.7703188344220794E-4</v>
      </c>
      <c r="K77" s="1"/>
      <c r="L77" s="1">
        <f t="shared" si="30"/>
        <v>-20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160</v>
      </c>
      <c r="U77" s="1"/>
      <c r="V77" s="5">
        <f t="shared" si="33"/>
        <v>9.2398438235397724E-5</v>
      </c>
      <c r="W77" s="1"/>
      <c r="X77" s="1">
        <f t="shared" si="34"/>
        <v>-160</v>
      </c>
      <c r="Y77" s="1"/>
      <c r="Z77" s="5">
        <f t="shared" si="35"/>
        <v>-1</v>
      </c>
    </row>
    <row r="78" spans="1:26" s="24" customFormat="1" hidden="1" outlineLevel="2" x14ac:dyDescent="0.25">
      <c r="A78" s="27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20</v>
      </c>
      <c r="I78" s="2"/>
      <c r="J78" s="6">
        <f t="shared" si="29"/>
        <v>1.7703188344220794E-4</v>
      </c>
      <c r="K78" s="2"/>
      <c r="L78" s="7">
        <f t="shared" si="30"/>
        <v>-20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160</v>
      </c>
      <c r="U78" s="2"/>
      <c r="V78" s="6">
        <f t="shared" si="33"/>
        <v>9.2398438235397724E-5</v>
      </c>
      <c r="W78" s="2"/>
      <c r="X78" s="7">
        <f t="shared" si="34"/>
        <v>-160</v>
      </c>
      <c r="Y78" s="2"/>
      <c r="Z78" s="6">
        <f t="shared" si="35"/>
        <v>-1</v>
      </c>
    </row>
    <row r="79" spans="1:26" s="28" customFormat="1" outlineLevel="1" collapsed="1" x14ac:dyDescent="0.25">
      <c r="A79" s="29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88.22</v>
      </c>
      <c r="E79" s="1"/>
      <c r="F79" s="5">
        <f t="shared" si="28"/>
        <v>4.7446721532114975E-4</v>
      </c>
      <c r="G79" s="1"/>
      <c r="H79" s="1">
        <f>SUM(OSRRefH22_6x_0)</f>
        <v>15</v>
      </c>
      <c r="I79" s="1"/>
      <c r="J79" s="5">
        <f t="shared" si="29"/>
        <v>1.3277391258165595E-4</v>
      </c>
      <c r="K79" s="1"/>
      <c r="L79" s="1">
        <f t="shared" si="30"/>
        <v>73.22</v>
      </c>
      <c r="M79" s="1"/>
      <c r="N79" s="5">
        <f t="shared" si="31"/>
        <v>4.8813333333333331</v>
      </c>
      <c r="O79" s="14"/>
      <c r="P79" s="1">
        <f>SUM(OSRRefP22_6x_0)</f>
        <v>1082.33</v>
      </c>
      <c r="Q79" s="1"/>
      <c r="R79" s="5">
        <f t="shared" si="32"/>
        <v>6.8050902147740865E-4</v>
      </c>
      <c r="S79" s="1"/>
      <c r="T79" s="1">
        <f>SUM(OSRRefT22_6x_0)</f>
        <v>120</v>
      </c>
      <c r="U79" s="1"/>
      <c r="V79" s="5">
        <f t="shared" si="33"/>
        <v>6.9298828676548293E-5</v>
      </c>
      <c r="W79" s="1"/>
      <c r="X79" s="1">
        <f t="shared" si="34"/>
        <v>962.32999999999993</v>
      </c>
      <c r="Y79" s="1"/>
      <c r="Z79" s="5">
        <f t="shared" si="35"/>
        <v>8.0194166666666664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7">
        <v>88.22</v>
      </c>
      <c r="E80" s="2"/>
      <c r="F80" s="6">
        <f t="shared" si="28"/>
        <v>4.7446721532114975E-4</v>
      </c>
      <c r="G80" s="2"/>
      <c r="H80" s="7">
        <v>15</v>
      </c>
      <c r="I80" s="2"/>
      <c r="J80" s="6">
        <f t="shared" si="29"/>
        <v>1.3277391258165595E-4</v>
      </c>
      <c r="K80" s="2"/>
      <c r="L80" s="7">
        <f t="shared" si="30"/>
        <v>73.22</v>
      </c>
      <c r="M80" s="2"/>
      <c r="N80" s="6">
        <f t="shared" si="31"/>
        <v>4.8813333333333331</v>
      </c>
      <c r="O80" s="11"/>
      <c r="P80" s="7">
        <v>1069.73</v>
      </c>
      <c r="Q80" s="2"/>
      <c r="R80" s="6">
        <f t="shared" si="32"/>
        <v>6.725868409311656E-4</v>
      </c>
      <c r="S80" s="2"/>
      <c r="T80" s="7">
        <v>120</v>
      </c>
      <c r="U80" s="2"/>
      <c r="V80" s="6">
        <f t="shared" si="33"/>
        <v>6.9298828676548293E-5</v>
      </c>
      <c r="W80" s="2"/>
      <c r="X80" s="7">
        <f t="shared" si="34"/>
        <v>949.73</v>
      </c>
      <c r="Y80" s="2"/>
      <c r="Z80" s="6">
        <f t="shared" si="35"/>
        <v>7.9144166666666669</v>
      </c>
    </row>
    <row r="81" spans="1:26" s="24" customFormat="1" hidden="1" outlineLevel="2" x14ac:dyDescent="0.25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12.6</v>
      </c>
      <c r="Q81" s="2"/>
      <c r="R81" s="6">
        <f t="shared" si="32"/>
        <v>7.9221805462431506E-6</v>
      </c>
      <c r="S81" s="2"/>
      <c r="T81" s="7"/>
      <c r="U81" s="2"/>
      <c r="V81" s="6">
        <f t="shared" si="33"/>
        <v>0</v>
      </c>
      <c r="W81" s="2"/>
      <c r="X81" s="7">
        <f t="shared" si="34"/>
        <v>12.6</v>
      </c>
      <c r="Y81" s="2"/>
      <c r="Z81" s="6">
        <f t="shared" si="35"/>
        <v>0</v>
      </c>
    </row>
    <row r="82" spans="1:26" s="28" customFormat="1" outlineLevel="1" collapsed="1" x14ac:dyDescent="0.25">
      <c r="A82" s="29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6">IF(D$12=0,0,D82/D$12)</f>
        <v>0</v>
      </c>
      <c r="G82" s="1"/>
      <c r="H82" s="1">
        <f>SUM(OSRRefH22_7x_0)</f>
        <v>30</v>
      </c>
      <c r="I82" s="1"/>
      <c r="J82" s="5">
        <f t="shared" ref="J82:J91" si="37">IF(H$12=0,0,H82/H$12)</f>
        <v>2.655478251633119E-4</v>
      </c>
      <c r="K82" s="1"/>
      <c r="L82" s="1">
        <f t="shared" ref="L82:L91" si="38">+D82-H82</f>
        <v>-30</v>
      </c>
      <c r="M82" s="1"/>
      <c r="N82" s="5">
        <f t="shared" ref="N82:N91" si="39">IF(H82=0,0,L82/H82)</f>
        <v>-1</v>
      </c>
      <c r="O82" s="14"/>
      <c r="P82" s="1">
        <f>SUM(OSRRefP22_7x_0)</f>
        <v>-30.15</v>
      </c>
      <c r="Q82" s="1"/>
      <c r="R82" s="5">
        <f t="shared" ref="R82:R91" si="40">IF(P$12=0,0,P82/P$12)</f>
        <v>-1.8956646307081827E-5</v>
      </c>
      <c r="S82" s="1"/>
      <c r="T82" s="1">
        <f>SUM(OSRRefT22_7x_0)</f>
        <v>240</v>
      </c>
      <c r="U82" s="1"/>
      <c r="V82" s="5">
        <f t="shared" ref="V82:V91" si="41">IF(T$12=0,0,T82/T$12)</f>
        <v>1.3859765735309659E-4</v>
      </c>
      <c r="W82" s="1"/>
      <c r="X82" s="1">
        <f t="shared" ref="X82:X91" si="42">+P82-T82</f>
        <v>-270.14999999999998</v>
      </c>
      <c r="Y82" s="1"/>
      <c r="Z82" s="5">
        <f t="shared" ref="Z82:Z91" si="43">IF(T82=0,0,X82/T82)</f>
        <v>-1.1256249999999999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6"/>
        <v>0</v>
      </c>
      <c r="G83" s="2"/>
      <c r="H83" s="7">
        <v>30</v>
      </c>
      <c r="I83" s="2"/>
      <c r="J83" s="6">
        <f t="shared" si="37"/>
        <v>2.655478251633119E-4</v>
      </c>
      <c r="K83" s="2"/>
      <c r="L83" s="7">
        <f t="shared" si="38"/>
        <v>-30</v>
      </c>
      <c r="M83" s="2"/>
      <c r="N83" s="6">
        <f t="shared" si="39"/>
        <v>-1</v>
      </c>
      <c r="O83" s="11"/>
      <c r="P83" s="7">
        <v>-30.15</v>
      </c>
      <c r="Q83" s="2"/>
      <c r="R83" s="6">
        <f t="shared" si="40"/>
        <v>-1.8956646307081827E-5</v>
      </c>
      <c r="S83" s="2"/>
      <c r="T83" s="7">
        <v>240</v>
      </c>
      <c r="U83" s="2"/>
      <c r="V83" s="6">
        <f t="shared" si="41"/>
        <v>1.3859765735309659E-4</v>
      </c>
      <c r="W83" s="2"/>
      <c r="X83" s="7">
        <f t="shared" si="42"/>
        <v>-270.14999999999998</v>
      </c>
      <c r="Y83" s="2"/>
      <c r="Z83" s="6">
        <f t="shared" si="43"/>
        <v>-1.1256249999999999</v>
      </c>
    </row>
    <row r="84" spans="1:26" s="28" customFormat="1" outlineLevel="1" collapsed="1" x14ac:dyDescent="0.25">
      <c r="A84" s="29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6"/>
        <v>6.7227841663051145E-3</v>
      </c>
      <c r="G84" s="1"/>
      <c r="H84" s="1">
        <f>SUM(OSRRefH22_8x_0)</f>
        <v>1250</v>
      </c>
      <c r="I84" s="1"/>
      <c r="J84" s="5">
        <f t="shared" si="37"/>
        <v>1.1064492715137996E-2</v>
      </c>
      <c r="K84" s="1"/>
      <c r="L84" s="1">
        <f t="shared" si="38"/>
        <v>0</v>
      </c>
      <c r="M84" s="1"/>
      <c r="N84" s="5">
        <f t="shared" si="39"/>
        <v>0</v>
      </c>
      <c r="O84" s="14"/>
      <c r="P84" s="1">
        <f>SUM(OSRRefP22_8x_0)</f>
        <v>10000</v>
      </c>
      <c r="Q84" s="1"/>
      <c r="R84" s="5">
        <f t="shared" si="40"/>
        <v>6.2874448779707548E-3</v>
      </c>
      <c r="S84" s="1"/>
      <c r="T84" s="1">
        <f>SUM(OSRRefT22_8x_0)</f>
        <v>10000</v>
      </c>
      <c r="U84" s="1"/>
      <c r="V84" s="5">
        <f t="shared" si="41"/>
        <v>5.774902389712358E-3</v>
      </c>
      <c r="W84" s="1"/>
      <c r="X84" s="1">
        <f t="shared" si="42"/>
        <v>0</v>
      </c>
      <c r="Y84" s="1"/>
      <c r="Z84" s="5">
        <f t="shared" si="43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6"/>
        <v>6.7227841663051145E-3</v>
      </c>
      <c r="G85" s="2"/>
      <c r="H85" s="7">
        <v>1250</v>
      </c>
      <c r="I85" s="2"/>
      <c r="J85" s="6">
        <f t="shared" si="37"/>
        <v>1.1064492715137996E-2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10000</v>
      </c>
      <c r="Q85" s="2"/>
      <c r="R85" s="6">
        <f t="shared" si="40"/>
        <v>6.2874448779707548E-3</v>
      </c>
      <c r="S85" s="2"/>
      <c r="T85" s="7">
        <v>10000</v>
      </c>
      <c r="U85" s="2"/>
      <c r="V85" s="6">
        <f t="shared" si="41"/>
        <v>5.774902389712358E-3</v>
      </c>
      <c r="W85" s="2"/>
      <c r="X85" s="7">
        <f t="shared" si="42"/>
        <v>0</v>
      </c>
      <c r="Y85" s="2"/>
      <c r="Z85" s="6">
        <f t="shared" si="43"/>
        <v>0</v>
      </c>
    </row>
    <row r="86" spans="1:26" s="28" customFormat="1" outlineLevel="1" collapsed="1" x14ac:dyDescent="0.25">
      <c r="A86" s="29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6"/>
        <v>0</v>
      </c>
      <c r="G86" s="1"/>
      <c r="H86" s="1">
        <f>SUM(OSRRefH22_9x_0)</f>
        <v>20</v>
      </c>
      <c r="I86" s="1"/>
      <c r="J86" s="5">
        <f t="shared" si="37"/>
        <v>1.7703188344220794E-4</v>
      </c>
      <c r="K86" s="1"/>
      <c r="L86" s="1">
        <f t="shared" si="38"/>
        <v>-20</v>
      </c>
      <c r="M86" s="1"/>
      <c r="N86" s="5">
        <f t="shared" si="39"/>
        <v>-1</v>
      </c>
      <c r="O86" s="14"/>
      <c r="P86" s="1">
        <f>SUM(OSRRefP22_9x_0)</f>
        <v>0</v>
      </c>
      <c r="Q86" s="1"/>
      <c r="R86" s="5">
        <f t="shared" si="40"/>
        <v>0</v>
      </c>
      <c r="S86" s="1"/>
      <c r="T86" s="1">
        <f>SUM(OSRRefT22_9x_0)</f>
        <v>165</v>
      </c>
      <c r="U86" s="1"/>
      <c r="V86" s="5">
        <f t="shared" si="41"/>
        <v>9.5285889430253901E-5</v>
      </c>
      <c r="W86" s="1"/>
      <c r="X86" s="1">
        <f t="shared" si="42"/>
        <v>-165</v>
      </c>
      <c r="Y86" s="1"/>
      <c r="Z86" s="5">
        <f t="shared" si="43"/>
        <v>-1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6"/>
        <v>0</v>
      </c>
      <c r="G87" s="2"/>
      <c r="H87" s="7">
        <v>20</v>
      </c>
      <c r="I87" s="2"/>
      <c r="J87" s="6">
        <f t="shared" si="37"/>
        <v>1.7703188344220794E-4</v>
      </c>
      <c r="K87" s="2"/>
      <c r="L87" s="7">
        <f t="shared" si="38"/>
        <v>-20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165</v>
      </c>
      <c r="U87" s="2"/>
      <c r="V87" s="6">
        <f t="shared" si="41"/>
        <v>9.5285889430253901E-5</v>
      </c>
      <c r="W87" s="2"/>
      <c r="X87" s="7">
        <f t="shared" si="42"/>
        <v>-165</v>
      </c>
      <c r="Y87" s="2"/>
      <c r="Z87" s="6">
        <f t="shared" si="43"/>
        <v>-1</v>
      </c>
    </row>
    <row r="88" spans="1:26" s="28" customFormat="1" outlineLevel="1" collapsed="1" x14ac:dyDescent="0.25">
      <c r="A88" s="29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8.74</v>
      </c>
      <c r="E88" s="1"/>
      <c r="F88" s="5">
        <f t="shared" si="36"/>
        <v>4.700570689080536E-5</v>
      </c>
      <c r="G88" s="1"/>
      <c r="H88" s="1">
        <f>SUM(OSRRefH22_10x_0)</f>
        <v>310</v>
      </c>
      <c r="I88" s="1"/>
      <c r="J88" s="5">
        <f t="shared" si="37"/>
        <v>2.7439941933542233E-3</v>
      </c>
      <c r="K88" s="1"/>
      <c r="L88" s="1">
        <f t="shared" si="38"/>
        <v>-301.26</v>
      </c>
      <c r="M88" s="1"/>
      <c r="N88" s="5">
        <f t="shared" si="39"/>
        <v>-0.97180645161290324</v>
      </c>
      <c r="O88" s="14"/>
      <c r="P88" s="1">
        <f>SUM(OSRRefP22_10x_0)</f>
        <v>2078.6</v>
      </c>
      <c r="Q88" s="1"/>
      <c r="R88" s="5">
        <f t="shared" si="40"/>
        <v>1.3069082923350011E-3</v>
      </c>
      <c r="S88" s="1"/>
      <c r="T88" s="1">
        <f>SUM(OSRRefT22_10x_0)</f>
        <v>2480</v>
      </c>
      <c r="U88" s="1"/>
      <c r="V88" s="5">
        <f t="shared" si="41"/>
        <v>1.4321757926486647E-3</v>
      </c>
      <c r="W88" s="1"/>
      <c r="X88" s="1">
        <f t="shared" si="42"/>
        <v>-401.40000000000009</v>
      </c>
      <c r="Y88" s="1"/>
      <c r="Z88" s="5">
        <f t="shared" si="43"/>
        <v>-0.16185483870967746</v>
      </c>
    </row>
    <row r="89" spans="1:26" s="24" customFormat="1" hidden="1" outlineLevel="2" x14ac:dyDescent="0.25">
      <c r="A89" s="27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6"/>
        <v>0</v>
      </c>
      <c r="G89" s="2"/>
      <c r="H89" s="7"/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668.12</v>
      </c>
      <c r="Q89" s="2"/>
      <c r="R89" s="6">
        <f t="shared" si="40"/>
        <v>4.200767671869821E-4</v>
      </c>
      <c r="S89" s="2"/>
      <c r="T89" s="7"/>
      <c r="U89" s="2"/>
      <c r="V89" s="6">
        <f t="shared" si="41"/>
        <v>0</v>
      </c>
      <c r="W89" s="2"/>
      <c r="X89" s="7">
        <f t="shared" si="42"/>
        <v>668.12</v>
      </c>
      <c r="Y89" s="2"/>
      <c r="Z89" s="6">
        <f t="shared" si="43"/>
        <v>0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7">
        <v>8.74</v>
      </c>
      <c r="E90" s="2"/>
      <c r="F90" s="6">
        <f t="shared" si="36"/>
        <v>4.700570689080536E-5</v>
      </c>
      <c r="G90" s="2"/>
      <c r="H90" s="7">
        <v>110</v>
      </c>
      <c r="I90" s="2"/>
      <c r="J90" s="6">
        <f t="shared" si="37"/>
        <v>9.7367535893214368E-4</v>
      </c>
      <c r="K90" s="2"/>
      <c r="L90" s="7">
        <f t="shared" si="38"/>
        <v>-101.26</v>
      </c>
      <c r="M90" s="2"/>
      <c r="N90" s="6">
        <f t="shared" si="39"/>
        <v>-0.92054545454545456</v>
      </c>
      <c r="O90" s="11"/>
      <c r="P90" s="7">
        <v>1410.48</v>
      </c>
      <c r="Q90" s="2"/>
      <c r="R90" s="6">
        <f t="shared" si="40"/>
        <v>8.8683152514801907E-4</v>
      </c>
      <c r="S90" s="2"/>
      <c r="T90" s="7">
        <v>880</v>
      </c>
      <c r="U90" s="2"/>
      <c r="V90" s="6">
        <f t="shared" si="41"/>
        <v>5.0819141029468751E-4</v>
      </c>
      <c r="W90" s="2"/>
      <c r="X90" s="7">
        <f t="shared" si="42"/>
        <v>530.48</v>
      </c>
      <c r="Y90" s="2"/>
      <c r="Z90" s="6">
        <f t="shared" si="43"/>
        <v>0.60281818181818181</v>
      </c>
    </row>
    <row r="91" spans="1:26" s="24" customFormat="1" hidden="1" outlineLevel="2" x14ac:dyDescent="0.25">
      <c r="A91" s="27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6"/>
        <v>0</v>
      </c>
      <c r="G91" s="2"/>
      <c r="H91" s="7">
        <v>200</v>
      </c>
      <c r="I91" s="2"/>
      <c r="J91" s="6">
        <f t="shared" si="37"/>
        <v>1.7703188344220795E-3</v>
      </c>
      <c r="K91" s="2"/>
      <c r="L91" s="7">
        <f t="shared" si="38"/>
        <v>-200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1600</v>
      </c>
      <c r="U91" s="2"/>
      <c r="V91" s="6">
        <f t="shared" si="41"/>
        <v>9.2398438235397724E-4</v>
      </c>
      <c r="W91" s="2"/>
      <c r="X91" s="7">
        <f t="shared" si="42"/>
        <v>-1600</v>
      </c>
      <c r="Y91" s="2"/>
      <c r="Z91" s="6">
        <f t="shared" si="43"/>
        <v>-1</v>
      </c>
    </row>
    <row r="92" spans="1:26" s="28" customFormat="1" outlineLevel="1" collapsed="1" x14ac:dyDescent="0.25">
      <c r="A92" s="29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250.65</v>
      </c>
      <c r="E92" s="1"/>
      <c r="F92" s="5">
        <f t="shared" ref="F92:F95" si="44">IF(D$12=0,0,D92/D$12)</f>
        <v>1.3480526810275015E-3</v>
      </c>
      <c r="G92" s="1"/>
      <c r="H92" s="1">
        <f>SUM(OSRRefH22_11x_0)</f>
        <v>250</v>
      </c>
      <c r="I92" s="1"/>
      <c r="J92" s="5">
        <f t="shared" ref="J92:J95" si="45">IF(H$12=0,0,H92/H$12)</f>
        <v>2.2128985430275995E-3</v>
      </c>
      <c r="K92" s="1"/>
      <c r="L92" s="1">
        <f t="shared" ref="L92:L95" si="46">+D92-H92</f>
        <v>0.65000000000000568</v>
      </c>
      <c r="M92" s="1"/>
      <c r="N92" s="5">
        <f t="shared" ref="N92:N95" si="47">IF(H92=0,0,L92/H92)</f>
        <v>2.6000000000000229E-3</v>
      </c>
      <c r="O92" s="14"/>
      <c r="P92" s="1">
        <f>SUM(OSRRefP22_11x_0)</f>
        <v>2331.4</v>
      </c>
      <c r="Q92" s="1"/>
      <c r="R92" s="5">
        <f t="shared" ref="R92:R95" si="48">IF(P$12=0,0,P92/P$12)</f>
        <v>1.4658548988501019E-3</v>
      </c>
      <c r="S92" s="1"/>
      <c r="T92" s="1">
        <f>SUM(OSRRefT22_11x_0)</f>
        <v>2010</v>
      </c>
      <c r="U92" s="1"/>
      <c r="V92" s="5">
        <f t="shared" ref="V92:V95" si="49">IF(T$12=0,0,T92/T$12)</f>
        <v>1.160755380332184E-3</v>
      </c>
      <c r="W92" s="1"/>
      <c r="X92" s="1">
        <f t="shared" ref="X92:X95" si="50">+P92-T92</f>
        <v>321.40000000000009</v>
      </c>
      <c r="Y92" s="1"/>
      <c r="Z92" s="5">
        <f t="shared" ref="Z92:Z95" si="51">IF(T92=0,0,X92/T92)</f>
        <v>0.15990049751243784</v>
      </c>
    </row>
    <row r="93" spans="1:26" s="24" customFormat="1" hidden="1" outlineLevel="2" x14ac:dyDescent="0.25">
      <c r="A93" s="27"/>
      <c r="B93" s="11" t="str">
        <f>CONCATENATE("          ", "6309", " - ", "TELEPHONE")</f>
        <v xml:space="preserve">          6309 - TELEPHONE</v>
      </c>
      <c r="C93" s="11"/>
      <c r="D93" s="7">
        <v>250.65</v>
      </c>
      <c r="E93" s="2"/>
      <c r="F93" s="6">
        <f t="shared" si="44"/>
        <v>1.3480526810275015E-3</v>
      </c>
      <c r="G93" s="2"/>
      <c r="H93" s="7">
        <v>250</v>
      </c>
      <c r="I93" s="2"/>
      <c r="J93" s="6">
        <f t="shared" si="45"/>
        <v>2.2128985430275995E-3</v>
      </c>
      <c r="K93" s="2"/>
      <c r="L93" s="7">
        <f t="shared" si="46"/>
        <v>0.65000000000000568</v>
      </c>
      <c r="M93" s="2"/>
      <c r="N93" s="6">
        <f t="shared" si="47"/>
        <v>2.6000000000000229E-3</v>
      </c>
      <c r="O93" s="11"/>
      <c r="P93" s="7">
        <v>2331.4</v>
      </c>
      <c r="Q93" s="2"/>
      <c r="R93" s="6">
        <f t="shared" si="48"/>
        <v>1.4658548988501019E-3</v>
      </c>
      <c r="S93" s="2"/>
      <c r="T93" s="7">
        <v>2010</v>
      </c>
      <c r="U93" s="2"/>
      <c r="V93" s="6">
        <f t="shared" si="49"/>
        <v>1.160755380332184E-3</v>
      </c>
      <c r="W93" s="2"/>
      <c r="X93" s="7">
        <f t="shared" si="50"/>
        <v>321.40000000000009</v>
      </c>
      <c r="Y93" s="2"/>
      <c r="Z93" s="6">
        <f t="shared" si="51"/>
        <v>0.15990049751243784</v>
      </c>
    </row>
    <row r="94" spans="1:26" s="28" customFormat="1" outlineLevel="1" collapsed="1" x14ac:dyDescent="0.25">
      <c r="A94" s="29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4"/>
        <v>0</v>
      </c>
      <c r="G94" s="1"/>
      <c r="H94" s="1">
        <f>SUM(OSRRefH22_12x_0)</f>
        <v>1000</v>
      </c>
      <c r="I94" s="1"/>
      <c r="J94" s="5">
        <f t="shared" si="45"/>
        <v>8.8515941721103979E-3</v>
      </c>
      <c r="K94" s="1"/>
      <c r="L94" s="1">
        <f t="shared" si="46"/>
        <v>-1000</v>
      </c>
      <c r="M94" s="1"/>
      <c r="N94" s="5">
        <f t="shared" si="47"/>
        <v>-1</v>
      </c>
      <c r="O94" s="14"/>
      <c r="P94" s="1">
        <f>SUM(OSRRefP22_12x_0)</f>
        <v>100</v>
      </c>
      <c r="Q94" s="1"/>
      <c r="R94" s="5">
        <f t="shared" si="48"/>
        <v>6.287444877970755E-5</v>
      </c>
      <c r="S94" s="1"/>
      <c r="T94" s="1">
        <f>SUM(OSRRefT22_12x_0)</f>
        <v>2500</v>
      </c>
      <c r="U94" s="1"/>
      <c r="V94" s="5">
        <f t="shared" si="49"/>
        <v>1.4437255974280895E-3</v>
      </c>
      <c r="W94" s="1"/>
      <c r="X94" s="1">
        <f t="shared" si="50"/>
        <v>-2400</v>
      </c>
      <c r="Y94" s="1"/>
      <c r="Z94" s="5">
        <f t="shared" si="51"/>
        <v>-0.96</v>
      </c>
    </row>
    <row r="95" spans="1:26" s="24" customFormat="1" hidden="1" outlineLevel="2" x14ac:dyDescent="0.25">
      <c r="A95" s="27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4"/>
        <v>0</v>
      </c>
      <c r="G95" s="2"/>
      <c r="H95" s="7">
        <v>1000</v>
      </c>
      <c r="I95" s="2"/>
      <c r="J95" s="6">
        <f t="shared" si="45"/>
        <v>8.8515941721103979E-3</v>
      </c>
      <c r="K95" s="2"/>
      <c r="L95" s="7">
        <f t="shared" si="46"/>
        <v>-1000</v>
      </c>
      <c r="M95" s="2"/>
      <c r="N95" s="6">
        <f t="shared" si="47"/>
        <v>-1</v>
      </c>
      <c r="O95" s="11"/>
      <c r="P95" s="7">
        <v>100</v>
      </c>
      <c r="Q95" s="2"/>
      <c r="R95" s="6">
        <f t="shared" si="48"/>
        <v>6.287444877970755E-5</v>
      </c>
      <c r="S95" s="2"/>
      <c r="T95" s="7">
        <v>2500</v>
      </c>
      <c r="U95" s="2"/>
      <c r="V95" s="6">
        <f t="shared" si="49"/>
        <v>1.4437255974280895E-3</v>
      </c>
      <c r="W95" s="2"/>
      <c r="X95" s="7">
        <f t="shared" si="50"/>
        <v>-2400</v>
      </c>
      <c r="Y95" s="2"/>
      <c r="Z95" s="6">
        <f t="shared" si="51"/>
        <v>-0.96</v>
      </c>
    </row>
    <row r="96" spans="1:26" s="58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649.6</v>
      </c>
      <c r="E97" s="4"/>
      <c r="F97" s="12">
        <f t="shared" ref="F97:F99" si="52">IF(D$12=0,0,D97/D$12)</f>
        <v>3.4936964755454421E-3</v>
      </c>
      <c r="G97" s="4"/>
      <c r="H97" s="4">
        <f>SUM(OSRRefH25x_0)</f>
        <v>898</v>
      </c>
      <c r="I97" s="4"/>
      <c r="J97" s="12">
        <f t="shared" ref="J97:J99" si="53">IF(H$12=0,0,H97/H$12)</f>
        <v>7.9487315665551367E-3</v>
      </c>
      <c r="K97" s="4"/>
      <c r="L97" s="4">
        <f t="shared" ref="L97:L99" si="54">+D97-H97</f>
        <v>-248.39999999999998</v>
      </c>
      <c r="M97" s="4"/>
      <c r="N97" s="12">
        <f t="shared" ref="N97:N99" si="55">IF(H97=0,0,L97/H97)</f>
        <v>-0.27661469933184851</v>
      </c>
      <c r="O97" s="10"/>
      <c r="P97" s="4">
        <f>SUM(OSRRefP25x_0)</f>
        <v>1278.6399999999999</v>
      </c>
      <c r="Q97" s="4"/>
      <c r="R97" s="12">
        <f t="shared" ref="R97:R99" si="56">IF(P$12=0,0,P97/P$12)</f>
        <v>8.0393785187685249E-4</v>
      </c>
      <c r="S97" s="4"/>
      <c r="T97" s="4">
        <f>SUM(OSRRefT25x_0)</f>
        <v>13772</v>
      </c>
      <c r="U97" s="4"/>
      <c r="V97" s="12">
        <f t="shared" ref="V97:V99" si="57">IF(T$12=0,0,T97/T$12)</f>
        <v>7.9531955711118589E-3</v>
      </c>
      <c r="W97" s="4"/>
      <c r="X97" s="4">
        <f t="shared" ref="X97:X99" si="58">+P97-T97</f>
        <v>-12493.36</v>
      </c>
      <c r="Y97" s="4"/>
      <c r="Z97" s="12">
        <f t="shared" ref="Z97:Z99" si="59">IF(T97=0,0,X97/T97)</f>
        <v>-0.90715654952076685</v>
      </c>
    </row>
    <row r="98" spans="1:26" s="24" customFormat="1" hidden="1" outlineLevel="1" x14ac:dyDescent="0.2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-231.36</f>
        <v>-231.36</v>
      </c>
      <c r="E98" s="2"/>
      <c r="F98" s="22">
        <f t="shared" si="52"/>
        <v>-1.2443066757730811E-3</v>
      </c>
      <c r="G98" s="2"/>
      <c r="H98" s="2"/>
      <c r="I98" s="2"/>
      <c r="J98" s="22">
        <f t="shared" si="53"/>
        <v>0</v>
      </c>
      <c r="K98" s="2"/>
      <c r="L98" s="2">
        <f t="shared" si="54"/>
        <v>-231.36</v>
      </c>
      <c r="M98" s="2"/>
      <c r="N98" s="22">
        <f t="shared" si="55"/>
        <v>0</v>
      </c>
      <c r="O98" s="11"/>
      <c r="P98" s="2">
        <f>--1454.51</f>
        <v>1454.51</v>
      </c>
      <c r="Q98" s="2"/>
      <c r="R98" s="22">
        <f t="shared" si="56"/>
        <v>9.1451514494572434E-4</v>
      </c>
      <c r="S98" s="2"/>
      <c r="T98" s="2"/>
      <c r="U98" s="2"/>
      <c r="V98" s="22">
        <f t="shared" si="57"/>
        <v>0</v>
      </c>
      <c r="W98" s="2"/>
      <c r="X98" s="2">
        <f t="shared" si="58"/>
        <v>1454.51</v>
      </c>
      <c r="Y98" s="2"/>
      <c r="Z98" s="22">
        <f t="shared" si="59"/>
        <v>0</v>
      </c>
    </row>
    <row r="99" spans="1:26" s="24" customFormat="1" hidden="1" outlineLevel="1" x14ac:dyDescent="0.25">
      <c r="A99" s="51"/>
      <c r="B99" s="11" t="str">
        <f>CONCATENATE("          ", "9150", " - ", "MISC. INCOME")</f>
        <v xml:space="preserve">          9150 - MISC. INCOME</v>
      </c>
      <c r="C99" s="11"/>
      <c r="D99" s="2">
        <f>--880.96</f>
        <v>880.96</v>
      </c>
      <c r="E99" s="2"/>
      <c r="F99" s="22">
        <f t="shared" si="52"/>
        <v>4.738003151318523E-3</v>
      </c>
      <c r="G99" s="2"/>
      <c r="H99" s="2">
        <v>898</v>
      </c>
      <c r="I99" s="2"/>
      <c r="J99" s="22">
        <f t="shared" si="53"/>
        <v>7.9487315665551367E-3</v>
      </c>
      <c r="K99" s="2"/>
      <c r="L99" s="2">
        <f t="shared" si="54"/>
        <v>-17.039999999999964</v>
      </c>
      <c r="M99" s="2"/>
      <c r="N99" s="22">
        <f t="shared" si="55"/>
        <v>-1.8975501113585706E-2</v>
      </c>
      <c r="O99" s="11"/>
      <c r="P99" s="2">
        <f>-175.87</f>
        <v>-175.87</v>
      </c>
      <c r="Q99" s="2"/>
      <c r="R99" s="22">
        <f t="shared" si="56"/>
        <v>-1.1057729306887167E-4</v>
      </c>
      <c r="S99" s="2"/>
      <c r="T99" s="2">
        <v>13772</v>
      </c>
      <c r="U99" s="2"/>
      <c r="V99" s="22">
        <f t="shared" si="57"/>
        <v>7.9531955711118589E-3</v>
      </c>
      <c r="W99" s="2"/>
      <c r="X99" s="2">
        <f t="shared" si="58"/>
        <v>-13947.87</v>
      </c>
      <c r="Y99" s="2"/>
      <c r="Z99" s="22">
        <f t="shared" si="59"/>
        <v>-1.0127701132733082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19">
        <f>+D46-D48+D97</f>
        <v>-7998.8600000000042</v>
      </c>
      <c r="E101" s="13"/>
      <c r="F101" s="21">
        <f>IF(D$12=0,0,D101/D$12)</f>
        <v>-4.3019687485193088E-2</v>
      </c>
      <c r="G101" s="13"/>
      <c r="H101" s="19">
        <f>+H46-H48+H97</f>
        <v>6941.7621471538441</v>
      </c>
      <c r="I101" s="13"/>
      <c r="J101" s="21">
        <f>IF(H$12=0,0,H101/H$12)</f>
        <v>6.1445661365923526E-2</v>
      </c>
      <c r="K101" s="15"/>
      <c r="L101" s="19">
        <f>+D101-H101</f>
        <v>-14940.622147153848</v>
      </c>
      <c r="M101" s="15"/>
      <c r="N101" s="21">
        <f>IF(H101=0,0,L101/H101)</f>
        <v>-2.1522809094344404</v>
      </c>
      <c r="O101" s="26"/>
      <c r="P101" s="19">
        <f>+P46-P48+P97</f>
        <v>-23854.02000000012</v>
      </c>
      <c r="Q101" s="13"/>
      <c r="R101" s="21">
        <f>IF(P$12=0,0,P101/P$12)</f>
        <v>-1.4998083586801271E-2</v>
      </c>
      <c r="S101" s="13"/>
      <c r="T101" s="19">
        <f>+T46-T48+T97</f>
        <v>235792.54322049615</v>
      </c>
      <c r="U101" s="13"/>
      <c r="V101" s="21">
        <f>IF(T$12=0,0,T101/T$12)</f>
        <v>0.13616789213203978</v>
      </c>
      <c r="W101" s="15"/>
      <c r="X101" s="19">
        <f>+P101-T101</f>
        <v>-259646.56322049629</v>
      </c>
      <c r="Y101" s="15"/>
      <c r="Z101" s="21">
        <f>IF(T101=0,0,X101/T101)</f>
        <v>-1.101165285696476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60009.689999999995</v>
      </c>
      <c r="E103" s="4"/>
      <c r="F103" s="12">
        <f>IF(D$12=0,0,D103/D$12)</f>
        <v>0.32274575500550268</v>
      </c>
      <c r="G103" s="4"/>
      <c r="H103" s="4">
        <v>16899</v>
      </c>
      <c r="I103" s="4"/>
      <c r="J103" s="12">
        <f>IF(H$12=0,0,H103/H$12)</f>
        <v>0.14958308991449359</v>
      </c>
      <c r="K103" s="4"/>
      <c r="L103" s="4">
        <f>+D103-H103</f>
        <v>43110.689999999995</v>
      </c>
      <c r="M103" s="4"/>
      <c r="N103" s="12">
        <f>IF(H103=0,0,L103/H103)</f>
        <v>2.5510793538079173</v>
      </c>
      <c r="O103" s="10"/>
      <c r="P103" s="4">
        <v>314970.19</v>
      </c>
      <c r="Q103" s="4"/>
      <c r="R103" s="12">
        <f>IF(P$12=0,0,P103/P$12)</f>
        <v>0.19803577078289755</v>
      </c>
      <c r="S103" s="4"/>
      <c r="T103" s="4">
        <v>297804</v>
      </c>
      <c r="U103" s="4"/>
      <c r="V103" s="12">
        <f>IF(T$12=0,0,T103/T$12)</f>
        <v>0.17197890312658989</v>
      </c>
      <c r="W103" s="4"/>
      <c r="X103" s="4">
        <f>+P103-T103</f>
        <v>17166.190000000002</v>
      </c>
      <c r="Y103" s="4"/>
      <c r="Z103" s="12">
        <f>IF(T103=0,0,X103/T103)</f>
        <v>5.7642576996951023E-2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-68008.55</v>
      </c>
      <c r="E105" s="13"/>
      <c r="F105" s="30">
        <f>IF(D$12=0,0,D105/D$12)</f>
        <v>-0.36576544249069576</v>
      </c>
      <c r="G105" s="13"/>
      <c r="H105" s="34">
        <f>+H101-H103</f>
        <v>-9957.2378528461559</v>
      </c>
      <c r="I105" s="13"/>
      <c r="J105" s="30">
        <f>IF(H$12=0,0,H105/H$12)</f>
        <v>-8.8137428548570082E-2</v>
      </c>
      <c r="K105" s="15"/>
      <c r="L105" s="34">
        <f>D105-H105</f>
        <v>-58051.312147153847</v>
      </c>
      <c r="M105" s="15"/>
      <c r="N105" s="30">
        <f>IF(H105=0,0,L105/H105)</f>
        <v>5.830061810822424</v>
      </c>
      <c r="O105" s="26"/>
      <c r="P105" s="34">
        <f>+P101-P103</f>
        <v>-338824.21000000014</v>
      </c>
      <c r="Q105" s="13"/>
      <c r="R105" s="30">
        <f>IF(P$12=0,0,P105/P$12)</f>
        <v>-0.21303385436969882</v>
      </c>
      <c r="S105" s="13"/>
      <c r="T105" s="34">
        <f>+T101-T103</f>
        <v>-62011.456779503846</v>
      </c>
      <c r="U105" s="13"/>
      <c r="V105" s="30">
        <f>IF(T$12=0,0,T105/T$12)</f>
        <v>-3.5811010994550134E-2</v>
      </c>
      <c r="W105" s="15"/>
      <c r="X105" s="34">
        <f>P105-T105</f>
        <v>-276812.75322049629</v>
      </c>
      <c r="Y105" s="15"/>
      <c r="Z105" s="30">
        <f>IF(T105=0,0,X105/T105)</f>
        <v>4.4638969570537332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5">
        <f>SUM(D105:D107)</f>
        <v>-68008.55</v>
      </c>
      <c r="E108" s="13"/>
      <c r="F108" s="31">
        <f>IF(D$12=0,0,D108/D$12)</f>
        <v>-0.36576544249069576</v>
      </c>
      <c r="G108" s="13"/>
      <c r="H108" s="35">
        <f>SUM(H105:H107)</f>
        <v>-9957.2378528461559</v>
      </c>
      <c r="I108" s="13"/>
      <c r="J108" s="31">
        <f>IF(H$12=0,0,H108/H$12)</f>
        <v>-8.8137428548570082E-2</v>
      </c>
      <c r="K108" s="15"/>
      <c r="L108" s="35">
        <f>+D108-H108</f>
        <v>-58051.312147153847</v>
      </c>
      <c r="M108" s="15"/>
      <c r="N108" s="31">
        <f>IF(H108=0,0,L108/H108)</f>
        <v>5.830061810822424</v>
      </c>
      <c r="O108" s="26"/>
      <c r="P108" s="35">
        <f>SUM(P105:P107)</f>
        <v>-338824.21000000014</v>
      </c>
      <c r="Q108" s="13"/>
      <c r="R108" s="31">
        <f>IF(P$12=0,0,P108/P$12)</f>
        <v>-0.21303385436969882</v>
      </c>
      <c r="S108" s="13"/>
      <c r="T108" s="35">
        <f>SUM(T105:T107)</f>
        <v>-62011.456779503846</v>
      </c>
      <c r="U108" s="13"/>
      <c r="V108" s="31">
        <f>IF(T$12=0,0,T108/T$12)</f>
        <v>-3.5811010994550134E-2</v>
      </c>
      <c r="W108" s="15"/>
      <c r="X108" s="35">
        <f>+P108-T108</f>
        <v>-276812.75322049629</v>
      </c>
      <c r="Y108" s="15"/>
      <c r="Z108" s="31">
        <f>IF(T108=0,0,X108/T108)</f>
        <v>4.4638969570537332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3">
        <v>44267.671554016204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2" t="s">
        <v>314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7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185934.87000000002</v>
      </c>
      <c r="E12" s="4"/>
      <c r="F12" s="12"/>
      <c r="G12" s="4"/>
      <c r="H12" s="4">
        <f>SUM(OSRRefH13x_0)</f>
        <v>112974</v>
      </c>
      <c r="I12" s="4"/>
      <c r="J12" s="12"/>
      <c r="K12" s="4"/>
      <c r="L12" s="4">
        <f t="shared" ref="L12:L30" si="0">+D12-H12</f>
        <v>72960.870000000024</v>
      </c>
      <c r="M12" s="4"/>
      <c r="N12" s="12">
        <f t="shared" ref="N12:N30" si="1">IF(H12=0,0,L12/H12)</f>
        <v>0.64582001168410452</v>
      </c>
      <c r="O12" s="10"/>
      <c r="P12" s="4">
        <f>SUM(OSRRefP13x_0)</f>
        <v>1590471.2</v>
      </c>
      <c r="Q12" s="4"/>
      <c r="R12" s="12"/>
      <c r="S12" s="4"/>
      <c r="T12" s="4">
        <f>SUM(OSRRefT13x_0)</f>
        <v>1731631</v>
      </c>
      <c r="U12" s="4"/>
      <c r="V12" s="12"/>
      <c r="W12" s="4"/>
      <c r="X12" s="4">
        <f t="shared" ref="X12:X30" si="2">+P12-T12</f>
        <v>-141159.80000000005</v>
      </c>
      <c r="Y12" s="4"/>
      <c r="Z12" s="12">
        <f t="shared" ref="Z12:Z30" si="3">IF(T12=0,0,X12/T12)</f>
        <v>-8.1518406635131879E-2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-49</f>
        <v>-49</v>
      </c>
      <c r="E13" s="2"/>
      <c r="F13" s="22"/>
      <c r="G13" s="2"/>
      <c r="H13" s="2">
        <v>100185</v>
      </c>
      <c r="I13" s="2"/>
      <c r="J13" s="22"/>
      <c r="K13" s="2"/>
      <c r="L13" s="2">
        <f t="shared" si="0"/>
        <v>-100234</v>
      </c>
      <c r="M13" s="2"/>
      <c r="N13" s="22">
        <f t="shared" si="1"/>
        <v>-1.0004890951739283</v>
      </c>
      <c r="O13" s="11"/>
      <c r="P13" s="2">
        <f>-2696.96</f>
        <v>-2696.96</v>
      </c>
      <c r="Q13" s="2"/>
      <c r="R13" s="22"/>
      <c r="S13" s="2"/>
      <c r="T13" s="2">
        <v>1621687</v>
      </c>
      <c r="U13" s="2"/>
      <c r="V13" s="22"/>
      <c r="W13" s="2"/>
      <c r="X13" s="2">
        <f t="shared" si="2"/>
        <v>-1624383.96</v>
      </c>
      <c r="Y13" s="2"/>
      <c r="Z13" s="22">
        <f t="shared" si="3"/>
        <v>-1.0016630582843669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--64.79</f>
        <v>64.790000000000006</v>
      </c>
      <c r="E14" s="2"/>
      <c r="F14" s="22"/>
      <c r="G14" s="2"/>
      <c r="H14" s="2"/>
      <c r="I14" s="2"/>
      <c r="J14" s="22"/>
      <c r="K14" s="2"/>
      <c r="L14" s="2">
        <f t="shared" si="0"/>
        <v>64.790000000000006</v>
      </c>
      <c r="M14" s="2"/>
      <c r="N14" s="22">
        <f t="shared" si="1"/>
        <v>0</v>
      </c>
      <c r="O14" s="11"/>
      <c r="P14" s="2">
        <f>--59262.85</f>
        <v>59262.85</v>
      </c>
      <c r="Q14" s="2"/>
      <c r="R14" s="22"/>
      <c r="S14" s="2"/>
      <c r="T14" s="2"/>
      <c r="U14" s="2"/>
      <c r="V14" s="22"/>
      <c r="W14" s="2"/>
      <c r="X14" s="2">
        <f t="shared" si="2"/>
        <v>59262.85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--165815.3</f>
        <v>165815.29999999999</v>
      </c>
      <c r="E15" s="2"/>
      <c r="F15" s="22"/>
      <c r="G15" s="2"/>
      <c r="H15" s="2"/>
      <c r="I15" s="2"/>
      <c r="J15" s="22"/>
      <c r="K15" s="2"/>
      <c r="L15" s="2">
        <f t="shared" si="0"/>
        <v>165815.29999999999</v>
      </c>
      <c r="M15" s="2"/>
      <c r="N15" s="22">
        <f t="shared" si="1"/>
        <v>0</v>
      </c>
      <c r="O15" s="11"/>
      <c r="P15" s="2">
        <f>--1250838.47</f>
        <v>1250838.47</v>
      </c>
      <c r="Q15" s="2"/>
      <c r="R15" s="22"/>
      <c r="S15" s="2"/>
      <c r="T15" s="2"/>
      <c r="U15" s="2"/>
      <c r="V15" s="22"/>
      <c r="W15" s="2"/>
      <c r="X15" s="2">
        <f t="shared" si="2"/>
        <v>1250838.47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--3521.24</f>
        <v>3521.24</v>
      </c>
      <c r="E16" s="2"/>
      <c r="F16" s="22"/>
      <c r="G16" s="2"/>
      <c r="H16" s="2"/>
      <c r="I16" s="2"/>
      <c r="J16" s="22"/>
      <c r="K16" s="2"/>
      <c r="L16" s="2">
        <f t="shared" si="0"/>
        <v>3521.24</v>
      </c>
      <c r="M16" s="2"/>
      <c r="N16" s="22">
        <f t="shared" si="1"/>
        <v>0</v>
      </c>
      <c r="O16" s="11"/>
      <c r="P16" s="2">
        <f>--96798.83</f>
        <v>96798.83</v>
      </c>
      <c r="Q16" s="2"/>
      <c r="R16" s="22"/>
      <c r="S16" s="2"/>
      <c r="T16" s="2"/>
      <c r="U16" s="2"/>
      <c r="V16" s="22"/>
      <c r="W16" s="2"/>
      <c r="X16" s="2">
        <f t="shared" si="2"/>
        <v>96798.83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--2878.93</f>
        <v>2878.93</v>
      </c>
      <c r="Q17" s="2"/>
      <c r="R17" s="22"/>
      <c r="S17" s="2"/>
      <c r="T17" s="2"/>
      <c r="U17" s="2"/>
      <c r="V17" s="22"/>
      <c r="W17" s="2"/>
      <c r="X17" s="2">
        <f t="shared" si="2"/>
        <v>2878.93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--1077.33</f>
        <v>1077.33</v>
      </c>
      <c r="E18" s="2"/>
      <c r="F18" s="22"/>
      <c r="G18" s="2"/>
      <c r="H18" s="2"/>
      <c r="I18" s="2"/>
      <c r="J18" s="22"/>
      <c r="K18" s="2"/>
      <c r="L18" s="2">
        <f t="shared" si="0"/>
        <v>1077.33</v>
      </c>
      <c r="M18" s="2"/>
      <c r="N18" s="22">
        <f t="shared" si="1"/>
        <v>0</v>
      </c>
      <c r="O18" s="11"/>
      <c r="P18" s="2">
        <f>--58947.17</f>
        <v>58947.17</v>
      </c>
      <c r="Q18" s="2"/>
      <c r="R18" s="22"/>
      <c r="S18" s="2"/>
      <c r="T18" s="2"/>
      <c r="U18" s="2"/>
      <c r="V18" s="22"/>
      <c r="W18" s="2"/>
      <c r="X18" s="2">
        <f t="shared" si="2"/>
        <v>58947.17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12789</v>
      </c>
      <c r="I19" s="2"/>
      <c r="J19" s="22"/>
      <c r="K19" s="2"/>
      <c r="L19" s="2">
        <f t="shared" si="0"/>
        <v>-12789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109944</v>
      </c>
      <c r="U19" s="2"/>
      <c r="V19" s="22"/>
      <c r="W19" s="2"/>
      <c r="X19" s="2">
        <f t="shared" si="2"/>
        <v>-109944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--6619.94</f>
        <v>6619.94</v>
      </c>
      <c r="E20" s="2"/>
      <c r="F20" s="22"/>
      <c r="G20" s="2"/>
      <c r="H20" s="2"/>
      <c r="I20" s="2"/>
      <c r="J20" s="22"/>
      <c r="K20" s="2"/>
      <c r="L20" s="2">
        <f t="shared" si="0"/>
        <v>6619.94</v>
      </c>
      <c r="M20" s="2"/>
      <c r="N20" s="22">
        <f t="shared" si="1"/>
        <v>0</v>
      </c>
      <c r="O20" s="11"/>
      <c r="P20" s="2">
        <f>--12192.66</f>
        <v>12192.66</v>
      </c>
      <c r="Q20" s="2"/>
      <c r="R20" s="22"/>
      <c r="S20" s="2"/>
      <c r="T20" s="2"/>
      <c r="U20" s="2"/>
      <c r="V20" s="22"/>
      <c r="W20" s="2"/>
      <c r="X20" s="2">
        <f t="shared" si="2"/>
        <v>12192.66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--33247.79</f>
        <v>33247.79</v>
      </c>
      <c r="E21" s="2"/>
      <c r="F21" s="22"/>
      <c r="G21" s="2"/>
      <c r="H21" s="2"/>
      <c r="I21" s="2"/>
      <c r="J21" s="22"/>
      <c r="K21" s="2"/>
      <c r="L21" s="2">
        <f t="shared" si="0"/>
        <v>33247.79</v>
      </c>
      <c r="M21" s="2"/>
      <c r="N21" s="22">
        <f t="shared" si="1"/>
        <v>0</v>
      </c>
      <c r="O21" s="11"/>
      <c r="P21" s="2">
        <f>--219646.99</f>
        <v>219646.99</v>
      </c>
      <c r="Q21" s="2"/>
      <c r="R21" s="22"/>
      <c r="S21" s="2"/>
      <c r="T21" s="2"/>
      <c r="U21" s="2"/>
      <c r="V21" s="22"/>
      <c r="W21" s="2"/>
      <c r="X21" s="2">
        <f t="shared" si="2"/>
        <v>219646.99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--3104.68</f>
        <v>3104.68</v>
      </c>
      <c r="E22" s="2"/>
      <c r="F22" s="22"/>
      <c r="G22" s="2"/>
      <c r="H22" s="2"/>
      <c r="I22" s="2"/>
      <c r="J22" s="22"/>
      <c r="K22" s="2"/>
      <c r="L22" s="2">
        <f t="shared" si="0"/>
        <v>3104.68</v>
      </c>
      <c r="M22" s="2"/>
      <c r="N22" s="22">
        <f t="shared" si="1"/>
        <v>0</v>
      </c>
      <c r="O22" s="11"/>
      <c r="P22" s="2">
        <f>--13622.82</f>
        <v>13622.82</v>
      </c>
      <c r="Q22" s="2"/>
      <c r="R22" s="22"/>
      <c r="S22" s="2"/>
      <c r="T22" s="2"/>
      <c r="U22" s="2"/>
      <c r="V22" s="22"/>
      <c r="W22" s="2"/>
      <c r="X22" s="2">
        <f t="shared" si="2"/>
        <v>13622.82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--5296.67</f>
        <v>5296.67</v>
      </c>
      <c r="E23" s="2"/>
      <c r="F23" s="22"/>
      <c r="G23" s="2"/>
      <c r="H23" s="2"/>
      <c r="I23" s="2"/>
      <c r="J23" s="22"/>
      <c r="K23" s="2"/>
      <c r="L23" s="2">
        <f t="shared" si="0"/>
        <v>5296.67</v>
      </c>
      <c r="M23" s="2"/>
      <c r="N23" s="22">
        <f t="shared" si="1"/>
        <v>0</v>
      </c>
      <c r="O23" s="11"/>
      <c r="P23" s="2">
        <f>--35127.19</f>
        <v>35127.19</v>
      </c>
      <c r="Q23" s="2"/>
      <c r="R23" s="22"/>
      <c r="S23" s="2"/>
      <c r="T23" s="2"/>
      <c r="U23" s="2"/>
      <c r="V23" s="22"/>
      <c r="W23" s="2"/>
      <c r="X23" s="2">
        <f t="shared" si="2"/>
        <v>35127.19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--345.23</f>
        <v>345.23</v>
      </c>
      <c r="E24" s="2"/>
      <c r="F24" s="22"/>
      <c r="G24" s="2"/>
      <c r="H24" s="2"/>
      <c r="I24" s="2"/>
      <c r="J24" s="22"/>
      <c r="K24" s="2"/>
      <c r="L24" s="2">
        <f t="shared" si="0"/>
        <v>345.23</v>
      </c>
      <c r="M24" s="2"/>
      <c r="N24" s="22">
        <f t="shared" si="1"/>
        <v>0</v>
      </c>
      <c r="O24" s="11"/>
      <c r="P24" s="2">
        <f>--2830.26</f>
        <v>2830.26</v>
      </c>
      <c r="Q24" s="2"/>
      <c r="R24" s="22"/>
      <c r="S24" s="2"/>
      <c r="T24" s="2"/>
      <c r="U24" s="2"/>
      <c r="V24" s="22"/>
      <c r="W24" s="2"/>
      <c r="X24" s="2">
        <f t="shared" si="2"/>
        <v>2830.26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-14762.14</f>
        <v>-14762.14</v>
      </c>
      <c r="Q25" s="2"/>
      <c r="R25" s="22"/>
      <c r="S25" s="2"/>
      <c r="T25" s="2"/>
      <c r="U25" s="2"/>
      <c r="V25" s="22"/>
      <c r="W25" s="2"/>
      <c r="X25" s="2">
        <f t="shared" si="2"/>
        <v>-14762.14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-32711.15</f>
        <v>-32711.15</v>
      </c>
      <c r="E26" s="2"/>
      <c r="F26" s="22"/>
      <c r="G26" s="2"/>
      <c r="H26" s="2"/>
      <c r="I26" s="2"/>
      <c r="J26" s="22"/>
      <c r="K26" s="2"/>
      <c r="L26" s="2">
        <f t="shared" si="0"/>
        <v>-32711.15</v>
      </c>
      <c r="M26" s="2"/>
      <c r="N26" s="22">
        <f t="shared" si="1"/>
        <v>0</v>
      </c>
      <c r="O26" s="11"/>
      <c r="P26" s="2">
        <f>-129628.16</f>
        <v>-129628.16</v>
      </c>
      <c r="Q26" s="2"/>
      <c r="R26" s="22"/>
      <c r="S26" s="2"/>
      <c r="T26" s="2"/>
      <c r="U26" s="2"/>
      <c r="V26" s="22"/>
      <c r="W26" s="2"/>
      <c r="X26" s="2">
        <f t="shared" si="2"/>
        <v>-129628.16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-212.99</f>
        <v>-212.99</v>
      </c>
      <c r="E27" s="2"/>
      <c r="F27" s="22"/>
      <c r="G27" s="2"/>
      <c r="H27" s="2"/>
      <c r="I27" s="2"/>
      <c r="J27" s="22"/>
      <c r="K27" s="2"/>
      <c r="L27" s="2">
        <f t="shared" si="0"/>
        <v>-212.99</v>
      </c>
      <c r="M27" s="2"/>
      <c r="N27" s="22">
        <f t="shared" si="1"/>
        <v>0</v>
      </c>
      <c r="O27" s="11"/>
      <c r="P27" s="2">
        <f>-3359.28</f>
        <v>-3359.28</v>
      </c>
      <c r="Q27" s="2"/>
      <c r="R27" s="22"/>
      <c r="S27" s="2"/>
      <c r="T27" s="2"/>
      <c r="U27" s="2"/>
      <c r="V27" s="22"/>
      <c r="W27" s="2"/>
      <c r="X27" s="2">
        <f t="shared" si="2"/>
        <v>-3359.28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-149.99</f>
        <v>-149.99</v>
      </c>
      <c r="E28" s="2"/>
      <c r="F28" s="22"/>
      <c r="G28" s="2"/>
      <c r="H28" s="2"/>
      <c r="I28" s="2"/>
      <c r="J28" s="22"/>
      <c r="K28" s="2"/>
      <c r="L28" s="2">
        <f t="shared" si="0"/>
        <v>-149.99</v>
      </c>
      <c r="M28" s="2"/>
      <c r="N28" s="22">
        <f t="shared" si="1"/>
        <v>0</v>
      </c>
      <c r="O28" s="11"/>
      <c r="P28" s="2">
        <f>-841.97</f>
        <v>-841.97</v>
      </c>
      <c r="Q28" s="2"/>
      <c r="R28" s="22"/>
      <c r="S28" s="2"/>
      <c r="T28" s="2"/>
      <c r="U28" s="2"/>
      <c r="V28" s="22"/>
      <c r="W28" s="2"/>
      <c r="X28" s="2">
        <f t="shared" si="2"/>
        <v>-841.97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-34.97</f>
        <v>-34.97</v>
      </c>
      <c r="E29" s="2"/>
      <c r="F29" s="22"/>
      <c r="G29" s="2"/>
      <c r="H29" s="2"/>
      <c r="I29" s="2"/>
      <c r="J29" s="22"/>
      <c r="K29" s="2"/>
      <c r="L29" s="2">
        <f t="shared" si="0"/>
        <v>-34.97</v>
      </c>
      <c r="M29" s="2"/>
      <c r="N29" s="22">
        <f t="shared" si="1"/>
        <v>0</v>
      </c>
      <c r="O29" s="11"/>
      <c r="P29" s="2">
        <f>-4762.31</f>
        <v>-4762.3100000000004</v>
      </c>
      <c r="Q29" s="2"/>
      <c r="R29" s="22"/>
      <c r="S29" s="2"/>
      <c r="T29" s="2"/>
      <c r="U29" s="2"/>
      <c r="V29" s="22"/>
      <c r="W29" s="2"/>
      <c r="X29" s="2">
        <f t="shared" si="2"/>
        <v>-4762.3100000000004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181960.00000000003</v>
      </c>
      <c r="E32" s="4"/>
      <c r="F32" s="12">
        <f t="shared" ref="F32:F44" si="4">IF(D$12=0,0,D32/D$12)</f>
        <v>0.97862224552070309</v>
      </c>
      <c r="G32" s="4"/>
      <c r="H32" s="4">
        <f>SUM(OSRRefH16x_0)</f>
        <v>88229</v>
      </c>
      <c r="I32" s="4"/>
      <c r="J32" s="12">
        <f t="shared" ref="J32:J44" si="5">IF(H$12=0,0,H32/H$12)</f>
        <v>0.7809673022111282</v>
      </c>
      <c r="K32" s="4"/>
      <c r="L32" s="4">
        <f t="shared" ref="L32:L44" si="6">+D32-H32</f>
        <v>93731.000000000029</v>
      </c>
      <c r="M32" s="4"/>
      <c r="N32" s="12">
        <f t="shared" ref="N32:N44" si="7">IF(H32=0,0,L32/H32)</f>
        <v>1.0623604483786513</v>
      </c>
      <c r="O32" s="10"/>
      <c r="P32" s="4">
        <f>SUM(OSRRefP16x_0)</f>
        <v>1508495.84</v>
      </c>
      <c r="Q32" s="4"/>
      <c r="R32" s="12">
        <f t="shared" ref="R32:R44" si="8">IF(P$12=0,0,P32/P$12)</f>
        <v>0.94845844426481918</v>
      </c>
      <c r="S32" s="4"/>
      <c r="T32" s="4">
        <f>SUM(OSRRefT16x_0)</f>
        <v>1352340</v>
      </c>
      <c r="U32" s="4"/>
      <c r="V32" s="12">
        <f t="shared" ref="V32:V44" si="9">IF(T$12=0,0,T32/T$12)</f>
        <v>0.78096314977036096</v>
      </c>
      <c r="W32" s="4"/>
      <c r="X32" s="4">
        <f t="shared" ref="X32:X44" si="10">+P32-T32</f>
        <v>156155.84000000008</v>
      </c>
      <c r="Y32" s="4"/>
      <c r="Z32" s="12">
        <f t="shared" ref="Z32:Z44" si="11">IF(T32=0,0,X32/T32)</f>
        <v>0.1154708431311653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88229</v>
      </c>
      <c r="I33" s="2"/>
      <c r="J33" s="22">
        <f t="shared" si="5"/>
        <v>0.7809673022111282</v>
      </c>
      <c r="K33" s="2"/>
      <c r="L33" s="2">
        <f t="shared" si="6"/>
        <v>-88229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1352340</v>
      </c>
      <c r="U33" s="2"/>
      <c r="V33" s="22">
        <f t="shared" si="9"/>
        <v>0.78096314977036096</v>
      </c>
      <c r="W33" s="2"/>
      <c r="X33" s="2">
        <f t="shared" si="10"/>
        <v>-1352340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6584.13</v>
      </c>
      <c r="E34" s="2"/>
      <c r="F34" s="22">
        <f t="shared" si="4"/>
        <v>3.5410947930315594E-2</v>
      </c>
      <c r="G34" s="2"/>
      <c r="H34" s="2"/>
      <c r="I34" s="2"/>
      <c r="J34" s="22">
        <f t="shared" si="5"/>
        <v>0</v>
      </c>
      <c r="K34" s="2"/>
      <c r="L34" s="2">
        <f t="shared" si="6"/>
        <v>6584.13</v>
      </c>
      <c r="M34" s="2"/>
      <c r="N34" s="22">
        <f t="shared" si="7"/>
        <v>0</v>
      </c>
      <c r="O34" s="11"/>
      <c r="P34" s="2">
        <v>32157.900000000005</v>
      </c>
      <c r="Q34" s="2"/>
      <c r="R34" s="22">
        <f t="shared" si="8"/>
        <v>2.0219102364129576E-2</v>
      </c>
      <c r="S34" s="2"/>
      <c r="T34" s="2"/>
      <c r="U34" s="2"/>
      <c r="V34" s="22">
        <f t="shared" si="9"/>
        <v>0</v>
      </c>
      <c r="W34" s="2"/>
      <c r="X34" s="2">
        <f t="shared" si="10"/>
        <v>32157.900000000005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184376.31</v>
      </c>
      <c r="E35" s="2"/>
      <c r="F35" s="22">
        <f t="shared" si="4"/>
        <v>0.99161771000781063</v>
      </c>
      <c r="G35" s="2"/>
      <c r="H35" s="2"/>
      <c r="I35" s="2"/>
      <c r="J35" s="22">
        <f t="shared" si="5"/>
        <v>0</v>
      </c>
      <c r="K35" s="2"/>
      <c r="L35" s="2">
        <f t="shared" si="6"/>
        <v>184376.31</v>
      </c>
      <c r="M35" s="2"/>
      <c r="N35" s="22">
        <f t="shared" si="7"/>
        <v>0</v>
      </c>
      <c r="O35" s="11"/>
      <c r="P35" s="2">
        <v>1263577.8400000001</v>
      </c>
      <c r="Q35" s="2"/>
      <c r="R35" s="22">
        <f t="shared" si="8"/>
        <v>0.79446760180253506</v>
      </c>
      <c r="S35" s="2"/>
      <c r="T35" s="2"/>
      <c r="U35" s="2"/>
      <c r="V35" s="22">
        <f t="shared" si="9"/>
        <v>0</v>
      </c>
      <c r="W35" s="2"/>
      <c r="X35" s="2">
        <f t="shared" si="10"/>
        <v>1263577.8400000001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8631.6</v>
      </c>
      <c r="E36" s="2"/>
      <c r="F36" s="22">
        <f t="shared" si="4"/>
        <v>4.6422707047903383E-2</v>
      </c>
      <c r="G36" s="2"/>
      <c r="H36" s="2"/>
      <c r="I36" s="2"/>
      <c r="J36" s="22">
        <f t="shared" si="5"/>
        <v>0</v>
      </c>
      <c r="K36" s="2"/>
      <c r="L36" s="2">
        <f t="shared" si="6"/>
        <v>8631.6</v>
      </c>
      <c r="M36" s="2"/>
      <c r="N36" s="22">
        <f t="shared" si="7"/>
        <v>0</v>
      </c>
      <c r="O36" s="11"/>
      <c r="P36" s="2">
        <v>99188.26999999999</v>
      </c>
      <c r="Q36" s="2"/>
      <c r="R36" s="22">
        <f t="shared" si="8"/>
        <v>6.2364078016628022E-2</v>
      </c>
      <c r="S36" s="2"/>
      <c r="T36" s="2"/>
      <c r="U36" s="2"/>
      <c r="V36" s="22">
        <f t="shared" si="9"/>
        <v>0</v>
      </c>
      <c r="W36" s="2"/>
      <c r="X36" s="2">
        <f t="shared" si="10"/>
        <v>99188.26999999999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1399.23</v>
      </c>
      <c r="E37" s="2"/>
      <c r="F37" s="22">
        <f t="shared" si="4"/>
        <v>7.5253770312152845E-3</v>
      </c>
      <c r="G37" s="2"/>
      <c r="H37" s="2"/>
      <c r="I37" s="2"/>
      <c r="J37" s="22">
        <f t="shared" si="5"/>
        <v>0</v>
      </c>
      <c r="K37" s="2"/>
      <c r="L37" s="2">
        <f t="shared" si="6"/>
        <v>1399.23</v>
      </c>
      <c r="M37" s="2"/>
      <c r="N37" s="22">
        <f t="shared" si="7"/>
        <v>0</v>
      </c>
      <c r="O37" s="11"/>
      <c r="P37" s="2">
        <v>30145.449999999997</v>
      </c>
      <c r="Q37" s="2"/>
      <c r="R37" s="22">
        <f t="shared" si="8"/>
        <v>1.8953785519662349E-2</v>
      </c>
      <c r="S37" s="2"/>
      <c r="T37" s="2"/>
      <c r="U37" s="2"/>
      <c r="V37" s="22">
        <f t="shared" si="9"/>
        <v>0</v>
      </c>
      <c r="W37" s="2"/>
      <c r="X37" s="2">
        <f t="shared" si="10"/>
        <v>30145.449999999997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385.43</v>
      </c>
      <c r="E38" s="2"/>
      <c r="F38" s="22">
        <f t="shared" si="4"/>
        <v>2.0729301609751843E-3</v>
      </c>
      <c r="G38" s="2"/>
      <c r="H38" s="2"/>
      <c r="I38" s="2"/>
      <c r="J38" s="22">
        <f t="shared" si="5"/>
        <v>0</v>
      </c>
      <c r="K38" s="2"/>
      <c r="L38" s="2">
        <f t="shared" si="6"/>
        <v>385.43</v>
      </c>
      <c r="M38" s="2"/>
      <c r="N38" s="22">
        <f t="shared" si="7"/>
        <v>0</v>
      </c>
      <c r="O38" s="11"/>
      <c r="P38" s="2">
        <v>23125.279999999999</v>
      </c>
      <c r="Q38" s="2"/>
      <c r="R38" s="22">
        <f t="shared" si="8"/>
        <v>1.4539892328763954E-2</v>
      </c>
      <c r="S38" s="2"/>
      <c r="T38" s="2"/>
      <c r="U38" s="2"/>
      <c r="V38" s="22">
        <f t="shared" si="9"/>
        <v>0</v>
      </c>
      <c r="W38" s="2"/>
      <c r="X38" s="2">
        <f t="shared" si="10"/>
        <v>23125.279999999999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-201407.69999999998</v>
      </c>
      <c r="E39" s="2"/>
      <c r="F39" s="22">
        <f t="shared" si="4"/>
        <v>-1.0832163972255444</v>
      </c>
      <c r="G39" s="2"/>
      <c r="H39" s="2"/>
      <c r="I39" s="2"/>
      <c r="J39" s="22">
        <f t="shared" si="5"/>
        <v>0</v>
      </c>
      <c r="K39" s="2"/>
      <c r="L39" s="2">
        <f t="shared" si="6"/>
        <v>-201407.69999999998</v>
      </c>
      <c r="M39" s="2"/>
      <c r="N39" s="22">
        <f t="shared" si="7"/>
        <v>0</v>
      </c>
      <c r="O39" s="11"/>
      <c r="P39" s="2">
        <v>-1444671.48</v>
      </c>
      <c r="Q39" s="2"/>
      <c r="R39" s="22">
        <f t="shared" si="8"/>
        <v>-0.90832922972764296</v>
      </c>
      <c r="S39" s="2"/>
      <c r="T39" s="2"/>
      <c r="U39" s="2"/>
      <c r="V39" s="22">
        <f t="shared" si="9"/>
        <v>0</v>
      </c>
      <c r="W39" s="2"/>
      <c r="X39" s="2">
        <f t="shared" si="10"/>
        <v>-1444671.48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181960</v>
      </c>
      <c r="E40" s="2"/>
      <c r="F40" s="22">
        <f t="shared" si="4"/>
        <v>0.97862224552070287</v>
      </c>
      <c r="G40" s="2"/>
      <c r="H40" s="2"/>
      <c r="I40" s="2"/>
      <c r="J40" s="22">
        <f t="shared" si="5"/>
        <v>0</v>
      </c>
      <c r="K40" s="2"/>
      <c r="L40" s="2">
        <f t="shared" si="6"/>
        <v>181960</v>
      </c>
      <c r="M40" s="2"/>
      <c r="N40" s="22">
        <f t="shared" si="7"/>
        <v>0</v>
      </c>
      <c r="O40" s="11"/>
      <c r="P40" s="2">
        <v>1504550</v>
      </c>
      <c r="Q40" s="2"/>
      <c r="R40" s="22">
        <f t="shared" si="8"/>
        <v>0.94597751911508998</v>
      </c>
      <c r="S40" s="2"/>
      <c r="T40" s="2"/>
      <c r="U40" s="2"/>
      <c r="V40" s="22">
        <f t="shared" si="9"/>
        <v>0</v>
      </c>
      <c r="W40" s="2"/>
      <c r="X40" s="2">
        <f t="shared" si="10"/>
        <v>1504550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31</v>
      </c>
      <c r="Q41" s="2"/>
      <c r="R41" s="22">
        <f t="shared" si="8"/>
        <v>1.9491079121709341E-5</v>
      </c>
      <c r="S41" s="2"/>
      <c r="T41" s="2"/>
      <c r="U41" s="2"/>
      <c r="V41" s="22">
        <f t="shared" si="9"/>
        <v>0</v>
      </c>
      <c r="W41" s="2"/>
      <c r="X41" s="2">
        <f t="shared" si="10"/>
        <v>31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>
        <v>31</v>
      </c>
      <c r="E42" s="2"/>
      <c r="F42" s="22">
        <f t="shared" si="4"/>
        <v>1.6672504732436684E-4</v>
      </c>
      <c r="G42" s="2"/>
      <c r="H42" s="2"/>
      <c r="I42" s="2"/>
      <c r="J42" s="22">
        <f t="shared" si="5"/>
        <v>0</v>
      </c>
      <c r="K42" s="2"/>
      <c r="L42" s="2">
        <f t="shared" si="6"/>
        <v>31</v>
      </c>
      <c r="M42" s="2"/>
      <c r="N42" s="22">
        <f t="shared" si="7"/>
        <v>0</v>
      </c>
      <c r="O42" s="11"/>
      <c r="P42" s="2">
        <v>125</v>
      </c>
      <c r="Q42" s="2"/>
      <c r="R42" s="22">
        <f t="shared" si="8"/>
        <v>7.8593060974634438E-5</v>
      </c>
      <c r="S42" s="2"/>
      <c r="T42" s="2"/>
      <c r="U42" s="2"/>
      <c r="V42" s="22">
        <f t="shared" si="9"/>
        <v>0</v>
      </c>
      <c r="W42" s="2"/>
      <c r="X42" s="2">
        <f t="shared" si="10"/>
        <v>125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242.46</v>
      </c>
      <c r="Q43" s="2"/>
      <c r="R43" s="22">
        <f t="shared" si="8"/>
        <v>1.5244538851127894E-4</v>
      </c>
      <c r="S43" s="2"/>
      <c r="T43" s="2"/>
      <c r="U43" s="2"/>
      <c r="V43" s="22">
        <f t="shared" si="9"/>
        <v>0</v>
      </c>
      <c r="W43" s="2"/>
      <c r="X43" s="2">
        <f t="shared" si="10"/>
        <v>242.46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4"/>
        <v>0</v>
      </c>
      <c r="G44" s="2"/>
      <c r="H44" s="2"/>
      <c r="I44" s="2"/>
      <c r="J44" s="22">
        <f t="shared" si="5"/>
        <v>0</v>
      </c>
      <c r="K44" s="2"/>
      <c r="L44" s="2">
        <f t="shared" si="6"/>
        <v>0</v>
      </c>
      <c r="M44" s="2"/>
      <c r="N44" s="22">
        <f t="shared" si="7"/>
        <v>0</v>
      </c>
      <c r="O44" s="11"/>
      <c r="P44" s="2">
        <v>24.12</v>
      </c>
      <c r="Q44" s="2"/>
      <c r="R44" s="22">
        <f t="shared" si="8"/>
        <v>1.5165317045665462E-5</v>
      </c>
      <c r="S44" s="2"/>
      <c r="T44" s="2"/>
      <c r="U44" s="2"/>
      <c r="V44" s="22">
        <f t="shared" si="9"/>
        <v>0</v>
      </c>
      <c r="W44" s="2"/>
      <c r="X44" s="2">
        <f t="shared" si="10"/>
        <v>24.12</v>
      </c>
      <c r="Y44" s="2"/>
      <c r="Z44" s="22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6</v>
      </c>
      <c r="C46" s="25"/>
      <c r="D46" s="19">
        <f>D12-D32</f>
        <v>3974.8699999999953</v>
      </c>
      <c r="E46" s="13"/>
      <c r="F46" s="21">
        <f>IF(D$12=0,0,D46/D$12)</f>
        <v>2.1377754479296945E-2</v>
      </c>
      <c r="G46" s="13"/>
      <c r="H46" s="19">
        <f>H12-H32</f>
        <v>24745</v>
      </c>
      <c r="I46" s="13"/>
      <c r="J46" s="21">
        <f>IF(H$12=0,0,H46/H$12)</f>
        <v>0.21903269778887177</v>
      </c>
      <c r="K46" s="15"/>
      <c r="L46" s="19">
        <f>+D46-H46</f>
        <v>-20770.130000000005</v>
      </c>
      <c r="M46" s="15"/>
      <c r="N46" s="21">
        <f>IF(H46=0,0,L46/H46)</f>
        <v>-0.83936674075570838</v>
      </c>
      <c r="O46" s="26"/>
      <c r="P46" s="19">
        <f>P12-P32</f>
        <v>81975.35999999987</v>
      </c>
      <c r="Q46" s="13"/>
      <c r="R46" s="21">
        <f>IF(P$12=0,0,P46/P$12)</f>
        <v>5.1541555735180787E-2</v>
      </c>
      <c r="S46" s="13"/>
      <c r="T46" s="19">
        <f>T12-T32</f>
        <v>379291</v>
      </c>
      <c r="U46" s="13"/>
      <c r="V46" s="21">
        <f>IF(T$12=0,0,T46/T$12)</f>
        <v>0.21903685022963898</v>
      </c>
      <c r="W46" s="15"/>
      <c r="X46" s="19">
        <f>+P46-T46</f>
        <v>-297315.64000000013</v>
      </c>
      <c r="Y46" s="15"/>
      <c r="Z46" s="21">
        <f>IF(T46=0,0,X46/T46)</f>
        <v>-0.78387211929626632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6" t="s">
        <v>9</v>
      </c>
      <c r="C48" s="10"/>
      <c r="D48" s="20">
        <f>SUM(OSRRefD22x_0)</f>
        <v>12623.33</v>
      </c>
      <c r="E48" s="20"/>
      <c r="F48" s="33">
        <f t="shared" ref="F48:F59" si="12">IF(D$12=0,0,D48/D$12)</f>
        <v>6.789113844003547E-2</v>
      </c>
      <c r="G48" s="20"/>
      <c r="H48" s="20">
        <f>SUM(OSRRefH22x_0)</f>
        <v>18701.237852846156</v>
      </c>
      <c r="I48" s="20"/>
      <c r="J48" s="33">
        <f t="shared" ref="J48:J59" si="13">IF(H$12=0,0,H48/H$12)</f>
        <v>0.1655357679895034</v>
      </c>
      <c r="K48" s="4"/>
      <c r="L48" s="20">
        <f t="shared" ref="L48:L59" si="14">+D48-H48</f>
        <v>-6077.9078528461559</v>
      </c>
      <c r="M48" s="4"/>
      <c r="N48" s="33">
        <f t="shared" ref="N48:N59" si="15">IF(H48=0,0,L48/H48)</f>
        <v>-0.32500029680768722</v>
      </c>
      <c r="O48" s="10"/>
      <c r="P48" s="20">
        <f>SUM(OSRRefP22x_0)</f>
        <v>107108.01999999999</v>
      </c>
      <c r="Q48" s="20"/>
      <c r="R48" s="33">
        <f t="shared" ref="R48:R59" si="16">IF(P$12=0,0,P48/P$12)</f>
        <v>6.7343577173858915E-2</v>
      </c>
      <c r="S48" s="20"/>
      <c r="T48" s="20">
        <f>SUM(OSRRefT22x_0)</f>
        <v>157270.45677950385</v>
      </c>
      <c r="U48" s="20"/>
      <c r="V48" s="33">
        <f t="shared" ref="V48:V59" si="17">IF(T$12=0,0,T48/T$12)</f>
        <v>9.0822153668711089E-2</v>
      </c>
      <c r="W48" s="4"/>
      <c r="X48" s="20">
        <f t="shared" ref="X48:X59" si="18">+P48-T48</f>
        <v>-50162.436779503856</v>
      </c>
      <c r="Y48" s="4"/>
      <c r="Z48" s="33">
        <f t="shared" ref="Z48:Z59" si="19">IF(T48=0,0,X48/T48)</f>
        <v>-0.31895651482612875</v>
      </c>
    </row>
    <row r="49" spans="1:26" s="28" customFormat="1" outlineLevel="1" collapsed="1" x14ac:dyDescent="0.25">
      <c r="A49" s="29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2731.1200000000003</v>
      </c>
      <c r="E49" s="1"/>
      <c r="F49" s="5">
        <f t="shared" si="12"/>
        <v>1.4688584233823382E-2</v>
      </c>
      <c r="G49" s="1"/>
      <c r="H49" s="1">
        <f>SUM(OSRRefH22_0x_0)</f>
        <v>2471.2478528461543</v>
      </c>
      <c r="I49" s="1"/>
      <c r="J49" s="5">
        <f t="shared" si="13"/>
        <v>2.187448309209335E-2</v>
      </c>
      <c r="K49" s="1"/>
      <c r="L49" s="1">
        <f t="shared" si="14"/>
        <v>259.87214715384607</v>
      </c>
      <c r="M49" s="1"/>
      <c r="N49" s="5">
        <f t="shared" si="15"/>
        <v>0.10515826927458911</v>
      </c>
      <c r="O49" s="14"/>
      <c r="P49" s="1">
        <f>SUM(OSRRefP22_0x_0)</f>
        <v>23297.929999999997</v>
      </c>
      <c r="Q49" s="1"/>
      <c r="R49" s="5">
        <f t="shared" si="16"/>
        <v>1.4648445064582117E-2</v>
      </c>
      <c r="S49" s="1"/>
      <c r="T49" s="1">
        <f>SUM(OSRRefT22_0x_0)</f>
        <v>21159.733109503843</v>
      </c>
      <c r="U49" s="1"/>
      <c r="V49" s="5">
        <f t="shared" si="17"/>
        <v>1.2219539329974945E-2</v>
      </c>
      <c r="W49" s="1"/>
      <c r="X49" s="1">
        <f t="shared" si="18"/>
        <v>2138.1968904961541</v>
      </c>
      <c r="Y49" s="1"/>
      <c r="Z49" s="5">
        <f t="shared" si="19"/>
        <v>0.10105027693075147</v>
      </c>
    </row>
    <row r="50" spans="1:26" s="24" customFormat="1" hidden="1" outlineLevel="2" x14ac:dyDescent="0.25">
      <c r="A50" s="27"/>
      <c r="B50" s="11" t="str">
        <f>CONCATENATE("          ", "6111", " - ", "F.I.C.A.")</f>
        <v xml:space="preserve">          6111 - F.I.C.A.</v>
      </c>
      <c r="C50" s="11"/>
      <c r="D50" s="7">
        <v>449.24</v>
      </c>
      <c r="E50" s="2"/>
      <c r="F50" s="6">
        <f t="shared" si="12"/>
        <v>2.4161148470967279E-3</v>
      </c>
      <c r="G50" s="2"/>
      <c r="H50" s="7">
        <v>425.68281899999999</v>
      </c>
      <c r="I50" s="2"/>
      <c r="J50" s="6">
        <f t="shared" si="13"/>
        <v>3.7679715598279251E-3</v>
      </c>
      <c r="K50" s="2"/>
      <c r="L50" s="7">
        <f t="shared" si="14"/>
        <v>23.557181000000014</v>
      </c>
      <c r="M50" s="2"/>
      <c r="N50" s="6">
        <f t="shared" si="15"/>
        <v>5.5339750510344218E-2</v>
      </c>
      <c r="O50" s="11"/>
      <c r="P50" s="7">
        <v>4288.84</v>
      </c>
      <c r="Q50" s="2"/>
      <c r="R50" s="6">
        <f t="shared" si="16"/>
        <v>2.6965845090436095E-3</v>
      </c>
      <c r="S50" s="2"/>
      <c r="T50" s="7">
        <v>4152.0681862499996</v>
      </c>
      <c r="U50" s="2"/>
      <c r="V50" s="6">
        <f t="shared" si="17"/>
        <v>2.397778849102378E-3</v>
      </c>
      <c r="W50" s="2"/>
      <c r="X50" s="7">
        <f t="shared" si="18"/>
        <v>136.77181375000055</v>
      </c>
      <c r="Y50" s="2"/>
      <c r="Z50" s="6">
        <f t="shared" si="19"/>
        <v>3.29406473147369E-2</v>
      </c>
    </row>
    <row r="51" spans="1:26" s="24" customFormat="1" hidden="1" outlineLevel="2" x14ac:dyDescent="0.25">
      <c r="A51" s="27"/>
      <c r="B51" s="11" t="str">
        <f>CONCATENATE("          ", "6112", " - ", "COMPENSATION INSURANCE")</f>
        <v xml:space="preserve">          6112 - COMPENSATION INSURANCE</v>
      </c>
      <c r="C51" s="11"/>
      <c r="D51" s="7">
        <v>145.49</v>
      </c>
      <c r="E51" s="2"/>
      <c r="F51" s="6">
        <f t="shared" si="12"/>
        <v>7.8247829468458497E-4</v>
      </c>
      <c r="G51" s="2"/>
      <c r="H51" s="7">
        <v>213.17179999999999</v>
      </c>
      <c r="I51" s="2"/>
      <c r="J51" s="6">
        <f t="shared" si="13"/>
        <v>1.8869102625382831E-3</v>
      </c>
      <c r="K51" s="2"/>
      <c r="L51" s="7">
        <f t="shared" si="14"/>
        <v>-67.681799999999981</v>
      </c>
      <c r="M51" s="2"/>
      <c r="N51" s="6">
        <f t="shared" si="15"/>
        <v>-0.31749884365568048</v>
      </c>
      <c r="O51" s="11"/>
      <c r="P51" s="7">
        <v>1174.21</v>
      </c>
      <c r="Q51" s="2"/>
      <c r="R51" s="6">
        <f t="shared" si="16"/>
        <v>7.382780650162041E-4</v>
      </c>
      <c r="S51" s="2"/>
      <c r="T51" s="7">
        <v>1680.4689785</v>
      </c>
      <c r="U51" s="2"/>
      <c r="V51" s="6">
        <f t="shared" si="17"/>
        <v>9.7045443197771352E-4</v>
      </c>
      <c r="W51" s="2"/>
      <c r="X51" s="7">
        <f t="shared" si="18"/>
        <v>-506.25897850000001</v>
      </c>
      <c r="Y51" s="2"/>
      <c r="Z51" s="6">
        <f t="shared" si="19"/>
        <v>-0.30126053201642006</v>
      </c>
    </row>
    <row r="52" spans="1:26" s="24" customFormat="1" hidden="1" outlineLevel="2" x14ac:dyDescent="0.25">
      <c r="A52" s="27"/>
      <c r="B52" s="11" t="str">
        <f>CONCATENATE("          ", "6113", " - ", "GROUP INSURANCE")</f>
        <v xml:space="preserve">          6113 - GROUP INSURANCE</v>
      </c>
      <c r="C52" s="11"/>
      <c r="D52" s="7">
        <v>1053.8499999999999</v>
      </c>
      <c r="E52" s="2"/>
      <c r="F52" s="6">
        <f t="shared" si="12"/>
        <v>5.6678448749285151E-3</v>
      </c>
      <c r="G52" s="2"/>
      <c r="H52" s="7">
        <v>946.34615384615404</v>
      </c>
      <c r="I52" s="2"/>
      <c r="J52" s="6">
        <f t="shared" si="13"/>
        <v>8.3766721001837068E-3</v>
      </c>
      <c r="K52" s="2"/>
      <c r="L52" s="7">
        <f t="shared" si="14"/>
        <v>107.50384615384587</v>
      </c>
      <c r="M52" s="2"/>
      <c r="N52" s="6">
        <f t="shared" si="15"/>
        <v>0.11359886201991433</v>
      </c>
      <c r="O52" s="11"/>
      <c r="P52" s="7">
        <v>8322.48</v>
      </c>
      <c r="Q52" s="2"/>
      <c r="R52" s="6">
        <f t="shared" si="16"/>
        <v>5.2327134248014049E-3</v>
      </c>
      <c r="S52" s="2"/>
      <c r="T52" s="7">
        <v>8031.1538461538403</v>
      </c>
      <c r="U52" s="2"/>
      <c r="V52" s="6">
        <f t="shared" si="17"/>
        <v>4.6379129538301408E-3</v>
      </c>
      <c r="W52" s="2"/>
      <c r="X52" s="7">
        <f t="shared" si="18"/>
        <v>291.32615384615929</v>
      </c>
      <c r="Y52" s="2"/>
      <c r="Z52" s="6">
        <f t="shared" si="19"/>
        <v>3.6274507925866326E-2</v>
      </c>
    </row>
    <row r="53" spans="1:26" s="24" customFormat="1" hidden="1" outlineLevel="2" x14ac:dyDescent="0.25">
      <c r="A53" s="27"/>
      <c r="B53" s="11" t="str">
        <f>CONCATENATE("          ", "6114", " - ", "STATE UNEMPLOYMENT INSURANCE")</f>
        <v xml:space="preserve">          6114 - STATE UNEMPLOYMENT INSURANCE</v>
      </c>
      <c r="C53" s="11"/>
      <c r="D53" s="7">
        <v>20.45</v>
      </c>
      <c r="E53" s="2"/>
      <c r="F53" s="6">
        <f t="shared" si="12"/>
        <v>1.0998474896075166E-4</v>
      </c>
      <c r="G53" s="2"/>
      <c r="H53" s="7">
        <v>29.95928</v>
      </c>
      <c r="I53" s="2"/>
      <c r="J53" s="6">
        <f t="shared" si="13"/>
        <v>2.6518738824862358E-4</v>
      </c>
      <c r="K53" s="2"/>
      <c r="L53" s="7">
        <f t="shared" si="14"/>
        <v>-9.5092800000000004</v>
      </c>
      <c r="M53" s="2"/>
      <c r="N53" s="6">
        <f t="shared" si="15"/>
        <v>-0.31740682686633326</v>
      </c>
      <c r="O53" s="11"/>
      <c r="P53" s="7">
        <v>179.73</v>
      </c>
      <c r="Q53" s="2"/>
      <c r="R53" s="6">
        <f t="shared" si="16"/>
        <v>1.1300424679176837E-4</v>
      </c>
      <c r="S53" s="2"/>
      <c r="T53" s="7">
        <v>236.17401860000001</v>
      </c>
      <c r="U53" s="2"/>
      <c r="V53" s="6">
        <f t="shared" si="17"/>
        <v>1.3638819044011109E-4</v>
      </c>
      <c r="W53" s="2"/>
      <c r="X53" s="7">
        <f t="shared" si="18"/>
        <v>-56.444018600000021</v>
      </c>
      <c r="Y53" s="2"/>
      <c r="Z53" s="6">
        <f t="shared" si="19"/>
        <v>-0.23899334454564775</v>
      </c>
    </row>
    <row r="54" spans="1:26" s="24" customFormat="1" hidden="1" outlineLevel="2" x14ac:dyDescent="0.25">
      <c r="A54" s="27"/>
      <c r="B54" s="11" t="str">
        <f>CONCATENATE("          ", "6115", " - ", "P.E.R.S.")</f>
        <v xml:space="preserve">          6115 - P.E.R.S.</v>
      </c>
      <c r="C54" s="11"/>
      <c r="D54" s="7">
        <v>176.42</v>
      </c>
      <c r="E54" s="2"/>
      <c r="F54" s="6">
        <f t="shared" si="12"/>
        <v>9.4882686609563862E-4</v>
      </c>
      <c r="G54" s="2"/>
      <c r="H54" s="7">
        <v>196.27780000000001</v>
      </c>
      <c r="I54" s="2"/>
      <c r="J54" s="6">
        <f t="shared" si="13"/>
        <v>1.7373714305946501E-3</v>
      </c>
      <c r="K54" s="2"/>
      <c r="L54" s="7">
        <f t="shared" si="14"/>
        <v>-19.857800000000026</v>
      </c>
      <c r="M54" s="2"/>
      <c r="N54" s="6">
        <f t="shared" si="15"/>
        <v>-0.10117191042491827</v>
      </c>
      <c r="O54" s="11"/>
      <c r="P54" s="7">
        <v>1587.78</v>
      </c>
      <c r="Q54" s="2"/>
      <c r="R54" s="6">
        <f t="shared" si="16"/>
        <v>9.9830792283444052E-4</v>
      </c>
      <c r="S54" s="2"/>
      <c r="T54" s="7">
        <v>1717.43075</v>
      </c>
      <c r="U54" s="2"/>
      <c r="V54" s="6">
        <f t="shared" si="17"/>
        <v>9.9179949423404867E-4</v>
      </c>
      <c r="W54" s="2"/>
      <c r="X54" s="7">
        <f t="shared" si="18"/>
        <v>-129.65075000000002</v>
      </c>
      <c r="Y54" s="2"/>
      <c r="Z54" s="6">
        <f t="shared" si="19"/>
        <v>-7.5491107865630111E-2</v>
      </c>
    </row>
    <row r="55" spans="1:26" s="24" customFormat="1" hidden="1" outlineLevel="2" x14ac:dyDescent="0.25">
      <c r="A55" s="27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2"/>
        <v>0</v>
      </c>
      <c r="G55" s="2"/>
      <c r="H55" s="7">
        <v>0</v>
      </c>
      <c r="I55" s="2"/>
      <c r="J55" s="6">
        <f t="shared" si="13"/>
        <v>0</v>
      </c>
      <c r="K55" s="2"/>
      <c r="L55" s="7">
        <f t="shared" si="14"/>
        <v>0</v>
      </c>
      <c r="M55" s="2"/>
      <c r="N55" s="6">
        <f t="shared" si="15"/>
        <v>0</v>
      </c>
      <c r="O55" s="11"/>
      <c r="P55" s="7"/>
      <c r="Q55" s="2"/>
      <c r="R55" s="6">
        <f t="shared" si="16"/>
        <v>0</v>
      </c>
      <c r="S55" s="2"/>
      <c r="T55" s="7">
        <v>0</v>
      </c>
      <c r="U55" s="2"/>
      <c r="V55" s="6">
        <f t="shared" si="17"/>
        <v>0</v>
      </c>
      <c r="W55" s="2"/>
      <c r="X55" s="7">
        <f t="shared" si="18"/>
        <v>0</v>
      </c>
      <c r="Y55" s="2"/>
      <c r="Z55" s="6">
        <f t="shared" si="19"/>
        <v>0</v>
      </c>
    </row>
    <row r="56" spans="1:26" s="24" customFormat="1" hidden="1" outlineLevel="2" x14ac:dyDescent="0.25">
      <c r="A56" s="27"/>
      <c r="B56" s="11" t="str">
        <f>CONCATENATE("          ", "6117", " - ", "RETIREMENT STAFF HOURLY")</f>
        <v xml:space="preserve">          6117 - RETIREMENT STAFF HOURLY</v>
      </c>
      <c r="C56" s="11"/>
      <c r="D56" s="7">
        <v>176</v>
      </c>
      <c r="E56" s="2"/>
      <c r="F56" s="6">
        <f t="shared" si="12"/>
        <v>9.4656801061576007E-4</v>
      </c>
      <c r="G56" s="2"/>
      <c r="H56" s="7"/>
      <c r="I56" s="2"/>
      <c r="J56" s="6">
        <f t="shared" si="13"/>
        <v>0</v>
      </c>
      <c r="K56" s="2"/>
      <c r="L56" s="7">
        <f t="shared" si="14"/>
        <v>176</v>
      </c>
      <c r="M56" s="2"/>
      <c r="N56" s="6">
        <f t="shared" si="15"/>
        <v>0</v>
      </c>
      <c r="O56" s="11"/>
      <c r="P56" s="7">
        <v>1457.04</v>
      </c>
      <c r="Q56" s="2"/>
      <c r="R56" s="6">
        <f t="shared" si="16"/>
        <v>9.1610586849985088E-4</v>
      </c>
      <c r="S56" s="2"/>
      <c r="T56" s="7"/>
      <c r="U56" s="2"/>
      <c r="V56" s="6">
        <f t="shared" si="17"/>
        <v>0</v>
      </c>
      <c r="W56" s="2"/>
      <c r="X56" s="7">
        <f t="shared" si="18"/>
        <v>1457.04</v>
      </c>
      <c r="Y56" s="2"/>
      <c r="Z56" s="6">
        <f t="shared" si="19"/>
        <v>0</v>
      </c>
    </row>
    <row r="57" spans="1:26" s="24" customFormat="1" hidden="1" outlineLevel="2" x14ac:dyDescent="0.25">
      <c r="A57" s="27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2"/>
        <v>1.4362018270160943E-3</v>
      </c>
      <c r="G57" s="2"/>
      <c r="H57" s="7">
        <v>194.749</v>
      </c>
      <c r="I57" s="2"/>
      <c r="J57" s="6">
        <f t="shared" si="13"/>
        <v>1.7238391134243277E-3</v>
      </c>
      <c r="K57" s="2"/>
      <c r="L57" s="7">
        <f t="shared" si="14"/>
        <v>72.291000000000025</v>
      </c>
      <c r="M57" s="2"/>
      <c r="N57" s="6">
        <f t="shared" si="15"/>
        <v>0.37120087908025218</v>
      </c>
      <c r="O57" s="11"/>
      <c r="P57" s="7">
        <v>2223.62</v>
      </c>
      <c r="Q57" s="2"/>
      <c r="R57" s="6">
        <f t="shared" si="16"/>
        <v>1.398088817955333E-3</v>
      </c>
      <c r="S57" s="2"/>
      <c r="T57" s="7">
        <v>1704.05375</v>
      </c>
      <c r="U57" s="2"/>
      <c r="V57" s="6">
        <f t="shared" si="17"/>
        <v>9.8407440730733059E-4</v>
      </c>
      <c r="W57" s="2"/>
      <c r="X57" s="7">
        <f t="shared" si="18"/>
        <v>519.56624999999985</v>
      </c>
      <c r="Y57" s="2"/>
      <c r="Z57" s="6">
        <f t="shared" si="19"/>
        <v>0.30490015353095512</v>
      </c>
    </row>
    <row r="58" spans="1:26" s="24" customFormat="1" hidden="1" outlineLevel="2" x14ac:dyDescent="0.25">
      <c r="A58" s="27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2"/>
        <v>1.4393749811425901E-3</v>
      </c>
      <c r="G58" s="2"/>
      <c r="H58" s="7">
        <v>290.06099999999998</v>
      </c>
      <c r="I58" s="2"/>
      <c r="J58" s="6">
        <f t="shared" si="13"/>
        <v>2.5675022571565137E-3</v>
      </c>
      <c r="K58" s="2"/>
      <c r="L58" s="7">
        <f t="shared" si="14"/>
        <v>-22.430999999999983</v>
      </c>
      <c r="M58" s="2"/>
      <c r="N58" s="6">
        <f t="shared" si="15"/>
        <v>-7.7332009473869243E-2</v>
      </c>
      <c r="O58" s="11"/>
      <c r="P58" s="7">
        <v>2219.5500000000002</v>
      </c>
      <c r="Q58" s="2"/>
      <c r="R58" s="6">
        <f t="shared" si="16"/>
        <v>1.3955298278899991E-3</v>
      </c>
      <c r="S58" s="2"/>
      <c r="T58" s="7">
        <v>2238.3835800000002</v>
      </c>
      <c r="U58" s="2"/>
      <c r="V58" s="6">
        <f t="shared" si="17"/>
        <v>1.2926446685234904E-3</v>
      </c>
      <c r="W58" s="2"/>
      <c r="X58" s="7">
        <f t="shared" si="18"/>
        <v>-18.833579999999984</v>
      </c>
      <c r="Y58" s="2"/>
      <c r="Z58" s="6">
        <f t="shared" si="19"/>
        <v>-8.4139198340616762E-3</v>
      </c>
    </row>
    <row r="59" spans="1:26" s="24" customFormat="1" hidden="1" outlineLevel="2" x14ac:dyDescent="0.25">
      <c r="A59" s="27"/>
      <c r="B59" s="11" t="str">
        <f>CONCATENATE("          ", "6156", " - ", "EMPLOYEE MEALS")</f>
        <v xml:space="preserve">          6156 - EMPLOYEE MEALS</v>
      </c>
      <c r="C59" s="11"/>
      <c r="D59" s="7">
        <v>175</v>
      </c>
      <c r="E59" s="2"/>
      <c r="F59" s="6">
        <f t="shared" si="12"/>
        <v>9.4118978328271608E-4</v>
      </c>
      <c r="G59" s="2"/>
      <c r="H59" s="7">
        <v>175</v>
      </c>
      <c r="I59" s="2"/>
      <c r="J59" s="6">
        <f t="shared" si="13"/>
        <v>1.5490289801193195E-3</v>
      </c>
      <c r="K59" s="2"/>
      <c r="L59" s="7">
        <f t="shared" si="14"/>
        <v>0</v>
      </c>
      <c r="M59" s="2"/>
      <c r="N59" s="6">
        <f t="shared" si="15"/>
        <v>0</v>
      </c>
      <c r="O59" s="11"/>
      <c r="P59" s="7">
        <v>1844.68</v>
      </c>
      <c r="Q59" s="2"/>
      <c r="R59" s="6">
        <f t="shared" si="16"/>
        <v>1.1598323817495094E-3</v>
      </c>
      <c r="S59" s="2"/>
      <c r="T59" s="7">
        <v>1400</v>
      </c>
      <c r="U59" s="2"/>
      <c r="V59" s="6">
        <f t="shared" si="17"/>
        <v>8.0848633455973015E-4</v>
      </c>
      <c r="W59" s="2"/>
      <c r="X59" s="7">
        <f t="shared" si="18"/>
        <v>444.68000000000006</v>
      </c>
      <c r="Y59" s="2"/>
      <c r="Z59" s="6">
        <f t="shared" si="19"/>
        <v>0.31762857142857148</v>
      </c>
    </row>
    <row r="60" spans="1:26" s="28" customFormat="1" outlineLevel="1" collapsed="1" x14ac:dyDescent="0.25">
      <c r="A60" s="29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8014.16</v>
      </c>
      <c r="E60" s="1"/>
      <c r="F60" s="5">
        <f t="shared" ref="F60:F70" si="20">IF(D$12=0,0,D60/D$12)</f>
        <v>4.3101974363388633E-2</v>
      </c>
      <c r="G60" s="1"/>
      <c r="H60" s="1">
        <f>SUM(OSRRefH22_1x_0)</f>
        <v>11037.990000000002</v>
      </c>
      <c r="I60" s="1"/>
      <c r="J60" s="5">
        <f t="shared" ref="J60:J70" si="21">IF(H$12=0,0,H60/H$12)</f>
        <v>9.7703807955812849E-2</v>
      </c>
      <c r="K60" s="1"/>
      <c r="L60" s="1">
        <f t="shared" ref="L60:L70" si="22">+D60-H60</f>
        <v>-3023.8300000000017</v>
      </c>
      <c r="M60" s="1"/>
      <c r="N60" s="5">
        <f t="shared" ref="N60:N70" si="23">IF(H60=0,0,L60/H60)</f>
        <v>-0.27394752124254518</v>
      </c>
      <c r="O60" s="14"/>
      <c r="P60" s="1">
        <f>SUM(OSRRefP22_1x_0)</f>
        <v>65405.460000000006</v>
      </c>
      <c r="Q60" s="1"/>
      <c r="R60" s="5">
        <f t="shared" ref="R60:R70" si="24">IF(P$12=0,0,P60/P$12)</f>
        <v>4.1123322446832117E-2</v>
      </c>
      <c r="S60" s="1"/>
      <c r="T60" s="1">
        <f>SUM(OSRRefT22_1x_0)</f>
        <v>86893.723669999992</v>
      </c>
      <c r="U60" s="1"/>
      <c r="V60" s="5">
        <f t="shared" ref="V60:V70" si="25">IF(T$12=0,0,T60/T$12)</f>
        <v>5.0180277247288824E-2</v>
      </c>
      <c r="W60" s="1"/>
      <c r="X60" s="1">
        <f t="shared" ref="X60:X70" si="26">+P60-T60</f>
        <v>-21488.263669999986</v>
      </c>
      <c r="Y60" s="1"/>
      <c r="Z60" s="5">
        <f t="shared" ref="Z60:Z70" si="27">IF(T60=0,0,X60/T60)</f>
        <v>-0.24729362216777453</v>
      </c>
    </row>
    <row r="61" spans="1:26" s="24" customFormat="1" hidden="1" outlineLevel="2" x14ac:dyDescent="0.25">
      <c r="A61" s="27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7"/>
      <c r="B62" s="11" t="str">
        <f>CONCATENATE("          ", "6002", " - ", "STAFF SALARIES")</f>
        <v xml:space="preserve">          6002 - STAFF SALARIES</v>
      </c>
      <c r="C62" s="11"/>
      <c r="D62" s="7">
        <v>2357.3000000000002</v>
      </c>
      <c r="E62" s="2"/>
      <c r="F62" s="6">
        <f t="shared" si="20"/>
        <v>1.2678095292184837E-2</v>
      </c>
      <c r="G62" s="2"/>
      <c r="H62" s="7">
        <v>2168.1849999999999</v>
      </c>
      <c r="I62" s="2"/>
      <c r="J62" s="6">
        <f t="shared" si="21"/>
        <v>1.9191893710057181E-2</v>
      </c>
      <c r="K62" s="2"/>
      <c r="L62" s="7">
        <f t="shared" si="22"/>
        <v>189.11500000000024</v>
      </c>
      <c r="M62" s="2"/>
      <c r="N62" s="6">
        <f t="shared" si="23"/>
        <v>8.7222723153236578E-2</v>
      </c>
      <c r="O62" s="11"/>
      <c r="P62" s="7">
        <v>18522.95</v>
      </c>
      <c r="Q62" s="2"/>
      <c r="R62" s="6">
        <f t="shared" si="24"/>
        <v>1.164620271024084E-2</v>
      </c>
      <c r="S62" s="2"/>
      <c r="T62" s="7">
        <v>18971.618749999998</v>
      </c>
      <c r="U62" s="2"/>
      <c r="V62" s="6">
        <f t="shared" si="25"/>
        <v>1.0955924645608676E-2</v>
      </c>
      <c r="W62" s="2"/>
      <c r="X62" s="7">
        <f t="shared" si="26"/>
        <v>-448.66874999999709</v>
      </c>
      <c r="Y62" s="2"/>
      <c r="Z62" s="6">
        <f t="shared" si="27"/>
        <v>-2.3649471134348888E-2</v>
      </c>
    </row>
    <row r="63" spans="1:26" s="24" customFormat="1" hidden="1" outlineLevel="2" x14ac:dyDescent="0.25">
      <c r="A63" s="27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4" customFormat="1" hidden="1" outlineLevel="2" x14ac:dyDescent="0.25">
      <c r="A64" s="27"/>
      <c r="B64" s="11" t="str">
        <f>CONCATENATE("          ", "6004", " - ", "STAFF HOURLY")</f>
        <v xml:space="preserve">          6004 - STAFF HOURLY</v>
      </c>
      <c r="C64" s="11"/>
      <c r="D64" s="7">
        <v>3520</v>
      </c>
      <c r="E64" s="2"/>
      <c r="F64" s="6">
        <f t="shared" si="20"/>
        <v>1.8931360212315201E-2</v>
      </c>
      <c r="G64" s="2"/>
      <c r="H64" s="7">
        <v>3088.12</v>
      </c>
      <c r="I64" s="2"/>
      <c r="J64" s="6">
        <f t="shared" si="21"/>
        <v>2.733478499477756E-2</v>
      </c>
      <c r="K64" s="2"/>
      <c r="L64" s="7">
        <f t="shared" si="22"/>
        <v>431.88000000000011</v>
      </c>
      <c r="M64" s="2"/>
      <c r="N64" s="6">
        <f t="shared" si="23"/>
        <v>0.13985207828711324</v>
      </c>
      <c r="O64" s="11"/>
      <c r="P64" s="7">
        <v>28200.16</v>
      </c>
      <c r="Q64" s="2"/>
      <c r="R64" s="6">
        <f t="shared" si="24"/>
        <v>1.7730695154995577E-2</v>
      </c>
      <c r="S64" s="2"/>
      <c r="T64" s="7">
        <v>27021.05</v>
      </c>
      <c r="U64" s="2"/>
      <c r="V64" s="6">
        <f t="shared" si="25"/>
        <v>1.5604392621753711E-2</v>
      </c>
      <c r="W64" s="2"/>
      <c r="X64" s="7">
        <f t="shared" si="26"/>
        <v>1179.1100000000006</v>
      </c>
      <c r="Y64" s="2"/>
      <c r="Z64" s="6">
        <f t="shared" si="27"/>
        <v>4.3636720260685671E-2</v>
      </c>
    </row>
    <row r="65" spans="1:26" s="24" customFormat="1" hidden="1" outlineLevel="2" x14ac:dyDescent="0.25">
      <c r="A65" s="27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4" customFormat="1" hidden="1" outlineLevel="2" x14ac:dyDescent="0.25">
      <c r="A66" s="27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25">
      <c r="A67" s="27"/>
      <c r="B67" s="11" t="str">
        <f>CONCATENATE("          ", "6007", " - ", "STUDENT HOURLY")</f>
        <v xml:space="preserve">          6007 - STUDENT HOURLY</v>
      </c>
      <c r="C67" s="11"/>
      <c r="D67" s="7">
        <v>2136.86</v>
      </c>
      <c r="E67" s="2"/>
      <c r="F67" s="6">
        <f t="shared" si="20"/>
        <v>1.1492518858888598E-2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2136.86</v>
      </c>
      <c r="M67" s="2"/>
      <c r="N67" s="6">
        <f t="shared" si="23"/>
        <v>0</v>
      </c>
      <c r="O67" s="11"/>
      <c r="P67" s="7">
        <v>18682.350000000002</v>
      </c>
      <c r="Q67" s="2"/>
      <c r="R67" s="6">
        <f t="shared" si="24"/>
        <v>1.1746424581595695E-2</v>
      </c>
      <c r="S67" s="2"/>
      <c r="T67" s="7">
        <v>5416.48</v>
      </c>
      <c r="U67" s="2"/>
      <c r="V67" s="6">
        <f t="shared" si="25"/>
        <v>3.1279643295829191E-3</v>
      </c>
      <c r="W67" s="2"/>
      <c r="X67" s="7">
        <f t="shared" si="26"/>
        <v>13265.870000000003</v>
      </c>
      <c r="Y67" s="2"/>
      <c r="Z67" s="6">
        <f t="shared" si="27"/>
        <v>2.4491680944081771</v>
      </c>
    </row>
    <row r="68" spans="1:26" s="24" customFormat="1" hidden="1" outlineLevel="2" x14ac:dyDescent="0.25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0"/>
        <v>0</v>
      </c>
      <c r="G68" s="2"/>
      <c r="H68" s="7">
        <v>5781.6850000000004</v>
      </c>
      <c r="I68" s="2"/>
      <c r="J68" s="6">
        <f t="shared" si="21"/>
        <v>5.1177129250978108E-2</v>
      </c>
      <c r="K68" s="2"/>
      <c r="L68" s="7">
        <f t="shared" si="22"/>
        <v>-5781.6850000000004</v>
      </c>
      <c r="M68" s="2"/>
      <c r="N68" s="6">
        <f t="shared" si="23"/>
        <v>-1</v>
      </c>
      <c r="O68" s="11"/>
      <c r="P68" s="7"/>
      <c r="Q68" s="2"/>
      <c r="R68" s="6">
        <f t="shared" si="24"/>
        <v>0</v>
      </c>
      <c r="S68" s="2"/>
      <c r="T68" s="7">
        <v>35484.574919999999</v>
      </c>
      <c r="U68" s="2"/>
      <c r="V68" s="6">
        <f t="shared" si="25"/>
        <v>2.0491995650343521E-2</v>
      </c>
      <c r="W68" s="2"/>
      <c r="X68" s="7">
        <f t="shared" si="26"/>
        <v>-35484.574919999999</v>
      </c>
      <c r="Y68" s="2"/>
      <c r="Z68" s="6">
        <f t="shared" si="27"/>
        <v>-1</v>
      </c>
    </row>
    <row r="69" spans="1:26" s="24" customFormat="1" hidden="1" outlineLevel="2" x14ac:dyDescent="0.25">
      <c r="A69" s="27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7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8" customFormat="1" outlineLevel="1" collapsed="1" x14ac:dyDescent="0.25">
      <c r="A71" s="29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81" si="28">IF(D$12=0,0,D71/D$12)</f>
        <v>0</v>
      </c>
      <c r="G71" s="1"/>
      <c r="H71" s="1">
        <f>SUM(OSRRefH22_2x_0)</f>
        <v>200</v>
      </c>
      <c r="I71" s="1"/>
      <c r="J71" s="5">
        <f t="shared" ref="J71:J81" si="29">IF(H$12=0,0,H71/H$12)</f>
        <v>1.7703188344220795E-3</v>
      </c>
      <c r="K71" s="1"/>
      <c r="L71" s="1">
        <f t="shared" ref="L71:L81" si="30">+D71-H71</f>
        <v>-200</v>
      </c>
      <c r="M71" s="1"/>
      <c r="N71" s="5">
        <f t="shared" ref="N71:N81" si="31">IF(H71=0,0,L71/H71)</f>
        <v>-1</v>
      </c>
      <c r="O71" s="14"/>
      <c r="P71" s="1">
        <f>SUM(OSRRefP22_2x_0)</f>
        <v>598.92999999999995</v>
      </c>
      <c r="Q71" s="1"/>
      <c r="R71" s="5">
        <f t="shared" ref="R71:R81" si="32">IF(P$12=0,0,P71/P$12)</f>
        <v>3.7657393607630241E-4</v>
      </c>
      <c r="S71" s="1"/>
      <c r="T71" s="1">
        <f>SUM(OSRRefT22_2x_0)</f>
        <v>1600</v>
      </c>
      <c r="U71" s="1"/>
      <c r="V71" s="5">
        <f t="shared" ref="V71:V81" si="33">IF(T$12=0,0,T71/T$12)</f>
        <v>9.2398438235397724E-4</v>
      </c>
      <c r="W71" s="1"/>
      <c r="X71" s="1">
        <f t="shared" ref="X71:X81" si="34">+P71-T71</f>
        <v>-1001.07</v>
      </c>
      <c r="Y71" s="1"/>
      <c r="Z71" s="5">
        <f t="shared" ref="Z71:Z81" si="35">IF(T71=0,0,X71/T71)</f>
        <v>-0.62566875</v>
      </c>
    </row>
    <row r="72" spans="1:26" s="24" customFormat="1" hidden="1" outlineLevel="2" x14ac:dyDescent="0.25">
      <c r="A72" s="27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28"/>
        <v>0</v>
      </c>
      <c r="G72" s="2"/>
      <c r="H72" s="7">
        <v>200</v>
      </c>
      <c r="I72" s="2"/>
      <c r="J72" s="6">
        <f t="shared" si="29"/>
        <v>1.7703188344220795E-3</v>
      </c>
      <c r="K72" s="2"/>
      <c r="L72" s="7">
        <f t="shared" si="30"/>
        <v>-200</v>
      </c>
      <c r="M72" s="2"/>
      <c r="N72" s="6">
        <f t="shared" si="31"/>
        <v>-1</v>
      </c>
      <c r="O72" s="11"/>
      <c r="P72" s="7">
        <v>598.92999999999995</v>
      </c>
      <c r="Q72" s="2"/>
      <c r="R72" s="6">
        <f t="shared" si="32"/>
        <v>3.7657393607630241E-4</v>
      </c>
      <c r="S72" s="2"/>
      <c r="T72" s="7">
        <v>1600</v>
      </c>
      <c r="U72" s="2"/>
      <c r="V72" s="6">
        <f t="shared" si="33"/>
        <v>9.2398438235397724E-4</v>
      </c>
      <c r="W72" s="2"/>
      <c r="X72" s="7">
        <f t="shared" si="34"/>
        <v>-1001.07</v>
      </c>
      <c r="Y72" s="2"/>
      <c r="Z72" s="6">
        <f t="shared" si="35"/>
        <v>-0.62566875</v>
      </c>
    </row>
    <row r="73" spans="1:26" s="28" customFormat="1" outlineLevel="1" collapsed="1" x14ac:dyDescent="0.25">
      <c r="A73" s="29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8"/>
        <v>1.5082700732788851E-3</v>
      </c>
      <c r="G73" s="1"/>
      <c r="H73" s="1">
        <f>SUM(OSRRefH22_3x_0)</f>
        <v>300</v>
      </c>
      <c r="I73" s="1"/>
      <c r="J73" s="5">
        <f t="shared" si="29"/>
        <v>2.655478251633119E-3</v>
      </c>
      <c r="K73" s="1"/>
      <c r="L73" s="1">
        <f t="shared" si="30"/>
        <v>-19.560000000000002</v>
      </c>
      <c r="M73" s="1"/>
      <c r="N73" s="5">
        <f t="shared" si="31"/>
        <v>-6.5200000000000008E-2</v>
      </c>
      <c r="O73" s="14"/>
      <c r="P73" s="1">
        <f>SUM(OSRRefP22_3x_0)</f>
        <v>2243.52</v>
      </c>
      <c r="Q73" s="1"/>
      <c r="R73" s="5">
        <f t="shared" si="32"/>
        <v>1.4106008332624947E-3</v>
      </c>
      <c r="S73" s="1"/>
      <c r="T73" s="1">
        <f>SUM(OSRRefT22_3x_0)</f>
        <v>2400</v>
      </c>
      <c r="U73" s="1"/>
      <c r="V73" s="5">
        <f t="shared" si="33"/>
        <v>1.3859765735309659E-3</v>
      </c>
      <c r="W73" s="1"/>
      <c r="X73" s="1">
        <f t="shared" si="34"/>
        <v>-156.48000000000002</v>
      </c>
      <c r="Y73" s="1"/>
      <c r="Z73" s="5">
        <f t="shared" si="35"/>
        <v>-6.5200000000000008E-2</v>
      </c>
    </row>
    <row r="74" spans="1:26" s="24" customFormat="1" hidden="1" outlineLevel="2" x14ac:dyDescent="0.25">
      <c r="A74" s="27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8"/>
        <v>1.5082700732788851E-3</v>
      </c>
      <c r="G74" s="2"/>
      <c r="H74" s="7">
        <v>300</v>
      </c>
      <c r="I74" s="2"/>
      <c r="J74" s="6">
        <f t="shared" si="29"/>
        <v>2.655478251633119E-3</v>
      </c>
      <c r="K74" s="2"/>
      <c r="L74" s="7">
        <f t="shared" si="30"/>
        <v>-19.560000000000002</v>
      </c>
      <c r="M74" s="2"/>
      <c r="N74" s="6">
        <f t="shared" si="31"/>
        <v>-6.5200000000000008E-2</v>
      </c>
      <c r="O74" s="11"/>
      <c r="P74" s="7">
        <v>2243.52</v>
      </c>
      <c r="Q74" s="2"/>
      <c r="R74" s="6">
        <f t="shared" si="32"/>
        <v>1.4106008332624947E-3</v>
      </c>
      <c r="S74" s="2"/>
      <c r="T74" s="7">
        <v>2400</v>
      </c>
      <c r="U74" s="2"/>
      <c r="V74" s="6">
        <f t="shared" si="33"/>
        <v>1.3859765735309659E-3</v>
      </c>
      <c r="W74" s="2"/>
      <c r="X74" s="7">
        <f t="shared" si="34"/>
        <v>-156.48000000000002</v>
      </c>
      <c r="Y74" s="2"/>
      <c r="Z74" s="6">
        <f t="shared" si="35"/>
        <v>-6.5200000000000008E-2</v>
      </c>
    </row>
    <row r="75" spans="1:26" s="28" customFormat="1" outlineLevel="1" collapsed="1" x14ac:dyDescent="0.25">
      <c r="A75" s="29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8"/>
        <v>0</v>
      </c>
      <c r="G75" s="1"/>
      <c r="H75" s="1">
        <f>SUM(OSRRefH22_4x_0)</f>
        <v>1797</v>
      </c>
      <c r="I75" s="1"/>
      <c r="J75" s="5">
        <f t="shared" si="29"/>
        <v>1.5906314727282385E-2</v>
      </c>
      <c r="K75" s="1"/>
      <c r="L75" s="1">
        <f t="shared" si="30"/>
        <v>-1797</v>
      </c>
      <c r="M75" s="1"/>
      <c r="N75" s="5">
        <f t="shared" si="31"/>
        <v>-1</v>
      </c>
      <c r="O75" s="14"/>
      <c r="P75" s="1">
        <f>SUM(OSRRefP22_4x_0)</f>
        <v>0</v>
      </c>
      <c r="Q75" s="1"/>
      <c r="R75" s="5">
        <f t="shared" si="32"/>
        <v>0</v>
      </c>
      <c r="S75" s="1"/>
      <c r="T75" s="1">
        <f>SUM(OSRRefT22_4x_0)</f>
        <v>27542</v>
      </c>
      <c r="U75" s="1"/>
      <c r="V75" s="5">
        <f t="shared" si="33"/>
        <v>1.5905236161745776E-2</v>
      </c>
      <c r="W75" s="1"/>
      <c r="X75" s="1">
        <f t="shared" si="34"/>
        <v>-27542</v>
      </c>
      <c r="Y75" s="1"/>
      <c r="Z75" s="5">
        <f t="shared" si="35"/>
        <v>-1</v>
      </c>
    </row>
    <row r="76" spans="1:26" s="24" customFormat="1" hidden="1" outlineLevel="2" x14ac:dyDescent="0.25">
      <c r="A76" s="27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8"/>
        <v>0</v>
      </c>
      <c r="G76" s="2"/>
      <c r="H76" s="7">
        <v>1797</v>
      </c>
      <c r="I76" s="2"/>
      <c r="J76" s="6">
        <f t="shared" si="29"/>
        <v>1.5906314727282385E-2</v>
      </c>
      <c r="K76" s="2"/>
      <c r="L76" s="7">
        <f t="shared" si="30"/>
        <v>-1797</v>
      </c>
      <c r="M76" s="2"/>
      <c r="N76" s="6">
        <f t="shared" si="31"/>
        <v>-1</v>
      </c>
      <c r="O76" s="11"/>
      <c r="P76" s="7"/>
      <c r="Q76" s="2"/>
      <c r="R76" s="6">
        <f t="shared" si="32"/>
        <v>0</v>
      </c>
      <c r="S76" s="2"/>
      <c r="T76" s="7">
        <v>27542</v>
      </c>
      <c r="U76" s="2"/>
      <c r="V76" s="6">
        <f t="shared" si="33"/>
        <v>1.5905236161745776E-2</v>
      </c>
      <c r="W76" s="2"/>
      <c r="X76" s="7">
        <f t="shared" si="34"/>
        <v>-27542</v>
      </c>
      <c r="Y76" s="2"/>
      <c r="Z76" s="6">
        <f t="shared" si="35"/>
        <v>-1</v>
      </c>
    </row>
    <row r="77" spans="1:26" s="28" customFormat="1" outlineLevel="1" collapsed="1" x14ac:dyDescent="0.25">
      <c r="A77" s="29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8"/>
        <v>0</v>
      </c>
      <c r="G77" s="1"/>
      <c r="H77" s="1">
        <f>SUM(OSRRefH22_5x_0)</f>
        <v>20</v>
      </c>
      <c r="I77" s="1"/>
      <c r="J77" s="5">
        <f t="shared" si="29"/>
        <v>1.7703188344220794E-4</v>
      </c>
      <c r="K77" s="1"/>
      <c r="L77" s="1">
        <f t="shared" si="30"/>
        <v>-20</v>
      </c>
      <c r="M77" s="1"/>
      <c r="N77" s="5">
        <f t="shared" si="31"/>
        <v>-1</v>
      </c>
      <c r="O77" s="14"/>
      <c r="P77" s="1">
        <f>SUM(OSRRefP22_5x_0)</f>
        <v>0</v>
      </c>
      <c r="Q77" s="1"/>
      <c r="R77" s="5">
        <f t="shared" si="32"/>
        <v>0</v>
      </c>
      <c r="S77" s="1"/>
      <c r="T77" s="1">
        <f>SUM(OSRRefT22_5x_0)</f>
        <v>160</v>
      </c>
      <c r="U77" s="1"/>
      <c r="V77" s="5">
        <f t="shared" si="33"/>
        <v>9.2398438235397724E-5</v>
      </c>
      <c r="W77" s="1"/>
      <c r="X77" s="1">
        <f t="shared" si="34"/>
        <v>-160</v>
      </c>
      <c r="Y77" s="1"/>
      <c r="Z77" s="5">
        <f t="shared" si="35"/>
        <v>-1</v>
      </c>
    </row>
    <row r="78" spans="1:26" s="24" customFormat="1" hidden="1" outlineLevel="2" x14ac:dyDescent="0.25">
      <c r="A78" s="27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8"/>
        <v>0</v>
      </c>
      <c r="G78" s="2"/>
      <c r="H78" s="7">
        <v>20</v>
      </c>
      <c r="I78" s="2"/>
      <c r="J78" s="6">
        <f t="shared" si="29"/>
        <v>1.7703188344220794E-4</v>
      </c>
      <c r="K78" s="2"/>
      <c r="L78" s="7">
        <f t="shared" si="30"/>
        <v>-20</v>
      </c>
      <c r="M78" s="2"/>
      <c r="N78" s="6">
        <f t="shared" si="31"/>
        <v>-1</v>
      </c>
      <c r="O78" s="11"/>
      <c r="P78" s="7"/>
      <c r="Q78" s="2"/>
      <c r="R78" s="6">
        <f t="shared" si="32"/>
        <v>0</v>
      </c>
      <c r="S78" s="2"/>
      <c r="T78" s="7">
        <v>160</v>
      </c>
      <c r="U78" s="2"/>
      <c r="V78" s="6">
        <f t="shared" si="33"/>
        <v>9.2398438235397724E-5</v>
      </c>
      <c r="W78" s="2"/>
      <c r="X78" s="7">
        <f t="shared" si="34"/>
        <v>-160</v>
      </c>
      <c r="Y78" s="2"/>
      <c r="Z78" s="6">
        <f t="shared" si="35"/>
        <v>-1</v>
      </c>
    </row>
    <row r="79" spans="1:26" s="28" customFormat="1" outlineLevel="1" collapsed="1" x14ac:dyDescent="0.25">
      <c r="A79" s="29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88.22</v>
      </c>
      <c r="E79" s="1"/>
      <c r="F79" s="5">
        <f t="shared" si="28"/>
        <v>4.7446721532114975E-4</v>
      </c>
      <c r="G79" s="1"/>
      <c r="H79" s="1">
        <f>SUM(OSRRefH22_6x_0)</f>
        <v>15</v>
      </c>
      <c r="I79" s="1"/>
      <c r="J79" s="5">
        <f t="shared" si="29"/>
        <v>1.3277391258165595E-4</v>
      </c>
      <c r="K79" s="1"/>
      <c r="L79" s="1">
        <f t="shared" si="30"/>
        <v>73.22</v>
      </c>
      <c r="M79" s="1"/>
      <c r="N79" s="5">
        <f t="shared" si="31"/>
        <v>4.8813333333333331</v>
      </c>
      <c r="O79" s="14"/>
      <c r="P79" s="1">
        <f>SUM(OSRRefP22_6x_0)</f>
        <v>1082.33</v>
      </c>
      <c r="Q79" s="1"/>
      <c r="R79" s="5">
        <f t="shared" si="32"/>
        <v>6.8050902147740865E-4</v>
      </c>
      <c r="S79" s="1"/>
      <c r="T79" s="1">
        <f>SUM(OSRRefT22_6x_0)</f>
        <v>120</v>
      </c>
      <c r="U79" s="1"/>
      <c r="V79" s="5">
        <f t="shared" si="33"/>
        <v>6.9298828676548293E-5</v>
      </c>
      <c r="W79" s="1"/>
      <c r="X79" s="1">
        <f t="shared" si="34"/>
        <v>962.32999999999993</v>
      </c>
      <c r="Y79" s="1"/>
      <c r="Z79" s="5">
        <f t="shared" si="35"/>
        <v>8.0194166666666664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7">
        <v>88.22</v>
      </c>
      <c r="E80" s="2"/>
      <c r="F80" s="6">
        <f t="shared" si="28"/>
        <v>4.7446721532114975E-4</v>
      </c>
      <c r="G80" s="2"/>
      <c r="H80" s="7">
        <v>15</v>
      </c>
      <c r="I80" s="2"/>
      <c r="J80" s="6">
        <f t="shared" si="29"/>
        <v>1.3277391258165595E-4</v>
      </c>
      <c r="K80" s="2"/>
      <c r="L80" s="7">
        <f t="shared" si="30"/>
        <v>73.22</v>
      </c>
      <c r="M80" s="2"/>
      <c r="N80" s="6">
        <f t="shared" si="31"/>
        <v>4.8813333333333331</v>
      </c>
      <c r="O80" s="11"/>
      <c r="P80" s="7">
        <v>1069.73</v>
      </c>
      <c r="Q80" s="2"/>
      <c r="R80" s="6">
        <f t="shared" si="32"/>
        <v>6.725868409311656E-4</v>
      </c>
      <c r="S80" s="2"/>
      <c r="T80" s="7">
        <v>120</v>
      </c>
      <c r="U80" s="2"/>
      <c r="V80" s="6">
        <f t="shared" si="33"/>
        <v>6.9298828676548293E-5</v>
      </c>
      <c r="W80" s="2"/>
      <c r="X80" s="7">
        <f t="shared" si="34"/>
        <v>949.73</v>
      </c>
      <c r="Y80" s="2"/>
      <c r="Z80" s="6">
        <f t="shared" si="35"/>
        <v>7.9144166666666669</v>
      </c>
    </row>
    <row r="81" spans="1:26" s="24" customFormat="1" hidden="1" outlineLevel="2" x14ac:dyDescent="0.25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12.6</v>
      </c>
      <c r="Q81" s="2"/>
      <c r="R81" s="6">
        <f t="shared" si="32"/>
        <v>7.9221805462431506E-6</v>
      </c>
      <c r="S81" s="2"/>
      <c r="T81" s="7"/>
      <c r="U81" s="2"/>
      <c r="V81" s="6">
        <f t="shared" si="33"/>
        <v>0</v>
      </c>
      <c r="W81" s="2"/>
      <c r="X81" s="7">
        <f t="shared" si="34"/>
        <v>12.6</v>
      </c>
      <c r="Y81" s="2"/>
      <c r="Z81" s="6">
        <f t="shared" si="35"/>
        <v>0</v>
      </c>
    </row>
    <row r="82" spans="1:26" s="28" customFormat="1" outlineLevel="1" collapsed="1" x14ac:dyDescent="0.25">
      <c r="A82" s="29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6">IF(D$12=0,0,D82/D$12)</f>
        <v>0</v>
      </c>
      <c r="G82" s="1"/>
      <c r="H82" s="1">
        <f>SUM(OSRRefH22_7x_0)</f>
        <v>30</v>
      </c>
      <c r="I82" s="1"/>
      <c r="J82" s="5">
        <f t="shared" ref="J82:J91" si="37">IF(H$12=0,0,H82/H$12)</f>
        <v>2.655478251633119E-4</v>
      </c>
      <c r="K82" s="1"/>
      <c r="L82" s="1">
        <f t="shared" ref="L82:L91" si="38">+D82-H82</f>
        <v>-30</v>
      </c>
      <c r="M82" s="1"/>
      <c r="N82" s="5">
        <f t="shared" ref="N82:N91" si="39">IF(H82=0,0,L82/H82)</f>
        <v>-1</v>
      </c>
      <c r="O82" s="14"/>
      <c r="P82" s="1">
        <f>SUM(OSRRefP22_7x_0)</f>
        <v>-30.15</v>
      </c>
      <c r="Q82" s="1"/>
      <c r="R82" s="5">
        <f t="shared" ref="R82:R91" si="40">IF(P$12=0,0,P82/P$12)</f>
        <v>-1.8956646307081827E-5</v>
      </c>
      <c r="S82" s="1"/>
      <c r="T82" s="1">
        <f>SUM(OSRRefT22_7x_0)</f>
        <v>240</v>
      </c>
      <c r="U82" s="1"/>
      <c r="V82" s="5">
        <f t="shared" ref="V82:V91" si="41">IF(T$12=0,0,T82/T$12)</f>
        <v>1.3859765735309659E-4</v>
      </c>
      <c r="W82" s="1"/>
      <c r="X82" s="1">
        <f t="shared" ref="X82:X91" si="42">+P82-T82</f>
        <v>-270.14999999999998</v>
      </c>
      <c r="Y82" s="1"/>
      <c r="Z82" s="5">
        <f t="shared" ref="Z82:Z91" si="43">IF(T82=0,0,X82/T82)</f>
        <v>-1.1256249999999999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6"/>
        <v>0</v>
      </c>
      <c r="G83" s="2"/>
      <c r="H83" s="7">
        <v>30</v>
      </c>
      <c r="I83" s="2"/>
      <c r="J83" s="6">
        <f t="shared" si="37"/>
        <v>2.655478251633119E-4</v>
      </c>
      <c r="K83" s="2"/>
      <c r="L83" s="7">
        <f t="shared" si="38"/>
        <v>-30</v>
      </c>
      <c r="M83" s="2"/>
      <c r="N83" s="6">
        <f t="shared" si="39"/>
        <v>-1</v>
      </c>
      <c r="O83" s="11"/>
      <c r="P83" s="7">
        <v>-30.15</v>
      </c>
      <c r="Q83" s="2"/>
      <c r="R83" s="6">
        <f t="shared" si="40"/>
        <v>-1.8956646307081827E-5</v>
      </c>
      <c r="S83" s="2"/>
      <c r="T83" s="7">
        <v>240</v>
      </c>
      <c r="U83" s="2"/>
      <c r="V83" s="6">
        <f t="shared" si="41"/>
        <v>1.3859765735309659E-4</v>
      </c>
      <c r="W83" s="2"/>
      <c r="X83" s="7">
        <f t="shared" si="42"/>
        <v>-270.14999999999998</v>
      </c>
      <c r="Y83" s="2"/>
      <c r="Z83" s="6">
        <f t="shared" si="43"/>
        <v>-1.1256249999999999</v>
      </c>
    </row>
    <row r="84" spans="1:26" s="28" customFormat="1" outlineLevel="1" collapsed="1" x14ac:dyDescent="0.25">
      <c r="A84" s="29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6"/>
        <v>6.7227841663051145E-3</v>
      </c>
      <c r="G84" s="1"/>
      <c r="H84" s="1">
        <f>SUM(OSRRefH22_8x_0)</f>
        <v>1250</v>
      </c>
      <c r="I84" s="1"/>
      <c r="J84" s="5">
        <f t="shared" si="37"/>
        <v>1.1064492715137996E-2</v>
      </c>
      <c r="K84" s="1"/>
      <c r="L84" s="1">
        <f t="shared" si="38"/>
        <v>0</v>
      </c>
      <c r="M84" s="1"/>
      <c r="N84" s="5">
        <f t="shared" si="39"/>
        <v>0</v>
      </c>
      <c r="O84" s="14"/>
      <c r="P84" s="1">
        <f>SUM(OSRRefP22_8x_0)</f>
        <v>10000</v>
      </c>
      <c r="Q84" s="1"/>
      <c r="R84" s="5">
        <f t="shared" si="40"/>
        <v>6.2874448779707548E-3</v>
      </c>
      <c r="S84" s="1"/>
      <c r="T84" s="1">
        <f>SUM(OSRRefT22_8x_0)</f>
        <v>10000</v>
      </c>
      <c r="U84" s="1"/>
      <c r="V84" s="5">
        <f t="shared" si="41"/>
        <v>5.774902389712358E-3</v>
      </c>
      <c r="W84" s="1"/>
      <c r="X84" s="1">
        <f t="shared" si="42"/>
        <v>0</v>
      </c>
      <c r="Y84" s="1"/>
      <c r="Z84" s="5">
        <f t="shared" si="43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6"/>
        <v>6.7227841663051145E-3</v>
      </c>
      <c r="G85" s="2"/>
      <c r="H85" s="7">
        <v>1250</v>
      </c>
      <c r="I85" s="2"/>
      <c r="J85" s="6">
        <f t="shared" si="37"/>
        <v>1.1064492715137996E-2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10000</v>
      </c>
      <c r="Q85" s="2"/>
      <c r="R85" s="6">
        <f t="shared" si="40"/>
        <v>6.2874448779707548E-3</v>
      </c>
      <c r="S85" s="2"/>
      <c r="T85" s="7">
        <v>10000</v>
      </c>
      <c r="U85" s="2"/>
      <c r="V85" s="6">
        <f t="shared" si="41"/>
        <v>5.774902389712358E-3</v>
      </c>
      <c r="W85" s="2"/>
      <c r="X85" s="7">
        <f t="shared" si="42"/>
        <v>0</v>
      </c>
      <c r="Y85" s="2"/>
      <c r="Z85" s="6">
        <f t="shared" si="43"/>
        <v>0</v>
      </c>
    </row>
    <row r="86" spans="1:26" s="28" customFormat="1" outlineLevel="1" collapsed="1" x14ac:dyDescent="0.25">
      <c r="A86" s="29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6"/>
        <v>0</v>
      </c>
      <c r="G86" s="1"/>
      <c r="H86" s="1">
        <f>SUM(OSRRefH22_9x_0)</f>
        <v>20</v>
      </c>
      <c r="I86" s="1"/>
      <c r="J86" s="5">
        <f t="shared" si="37"/>
        <v>1.7703188344220794E-4</v>
      </c>
      <c r="K86" s="1"/>
      <c r="L86" s="1">
        <f t="shared" si="38"/>
        <v>-20</v>
      </c>
      <c r="M86" s="1"/>
      <c r="N86" s="5">
        <f t="shared" si="39"/>
        <v>-1</v>
      </c>
      <c r="O86" s="14"/>
      <c r="P86" s="1">
        <f>SUM(OSRRefP22_9x_0)</f>
        <v>0</v>
      </c>
      <c r="Q86" s="1"/>
      <c r="R86" s="5">
        <f t="shared" si="40"/>
        <v>0</v>
      </c>
      <c r="S86" s="1"/>
      <c r="T86" s="1">
        <f>SUM(OSRRefT22_9x_0)</f>
        <v>165</v>
      </c>
      <c r="U86" s="1"/>
      <c r="V86" s="5">
        <f t="shared" si="41"/>
        <v>9.5285889430253901E-5</v>
      </c>
      <c r="W86" s="1"/>
      <c r="X86" s="1">
        <f t="shared" si="42"/>
        <v>-165</v>
      </c>
      <c r="Y86" s="1"/>
      <c r="Z86" s="5">
        <f t="shared" si="43"/>
        <v>-1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6"/>
        <v>0</v>
      </c>
      <c r="G87" s="2"/>
      <c r="H87" s="7">
        <v>20</v>
      </c>
      <c r="I87" s="2"/>
      <c r="J87" s="6">
        <f t="shared" si="37"/>
        <v>1.7703188344220794E-4</v>
      </c>
      <c r="K87" s="2"/>
      <c r="L87" s="7">
        <f t="shared" si="38"/>
        <v>-20</v>
      </c>
      <c r="M87" s="2"/>
      <c r="N87" s="6">
        <f t="shared" si="39"/>
        <v>-1</v>
      </c>
      <c r="O87" s="11"/>
      <c r="P87" s="7"/>
      <c r="Q87" s="2"/>
      <c r="R87" s="6">
        <f t="shared" si="40"/>
        <v>0</v>
      </c>
      <c r="S87" s="2"/>
      <c r="T87" s="7">
        <v>165</v>
      </c>
      <c r="U87" s="2"/>
      <c r="V87" s="6">
        <f t="shared" si="41"/>
        <v>9.5285889430253901E-5</v>
      </c>
      <c r="W87" s="2"/>
      <c r="X87" s="7">
        <f t="shared" si="42"/>
        <v>-165</v>
      </c>
      <c r="Y87" s="2"/>
      <c r="Z87" s="6">
        <f t="shared" si="43"/>
        <v>-1</v>
      </c>
    </row>
    <row r="88" spans="1:26" s="28" customFormat="1" outlineLevel="1" collapsed="1" x14ac:dyDescent="0.25">
      <c r="A88" s="29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8.74</v>
      </c>
      <c r="E88" s="1"/>
      <c r="F88" s="5">
        <f t="shared" si="36"/>
        <v>4.700570689080536E-5</v>
      </c>
      <c r="G88" s="1"/>
      <c r="H88" s="1">
        <f>SUM(OSRRefH22_10x_0)</f>
        <v>310</v>
      </c>
      <c r="I88" s="1"/>
      <c r="J88" s="5">
        <f t="shared" si="37"/>
        <v>2.7439941933542233E-3</v>
      </c>
      <c r="K88" s="1"/>
      <c r="L88" s="1">
        <f t="shared" si="38"/>
        <v>-301.26</v>
      </c>
      <c r="M88" s="1"/>
      <c r="N88" s="5">
        <f t="shared" si="39"/>
        <v>-0.97180645161290324</v>
      </c>
      <c r="O88" s="14"/>
      <c r="P88" s="1">
        <f>SUM(OSRRefP22_10x_0)</f>
        <v>2078.6</v>
      </c>
      <c r="Q88" s="1"/>
      <c r="R88" s="5">
        <f t="shared" si="40"/>
        <v>1.3069082923350011E-3</v>
      </c>
      <c r="S88" s="1"/>
      <c r="T88" s="1">
        <f>SUM(OSRRefT22_10x_0)</f>
        <v>2480</v>
      </c>
      <c r="U88" s="1"/>
      <c r="V88" s="5">
        <f t="shared" si="41"/>
        <v>1.4321757926486647E-3</v>
      </c>
      <c r="W88" s="1"/>
      <c r="X88" s="1">
        <f t="shared" si="42"/>
        <v>-401.40000000000009</v>
      </c>
      <c r="Y88" s="1"/>
      <c r="Z88" s="5">
        <f t="shared" si="43"/>
        <v>-0.16185483870967746</v>
      </c>
    </row>
    <row r="89" spans="1:26" s="24" customFormat="1" hidden="1" outlineLevel="2" x14ac:dyDescent="0.25">
      <c r="A89" s="27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6"/>
        <v>0</v>
      </c>
      <c r="G89" s="2"/>
      <c r="H89" s="7"/>
      <c r="I89" s="2"/>
      <c r="J89" s="6">
        <f t="shared" si="37"/>
        <v>0</v>
      </c>
      <c r="K89" s="2"/>
      <c r="L89" s="7">
        <f t="shared" si="38"/>
        <v>0</v>
      </c>
      <c r="M89" s="2"/>
      <c r="N89" s="6">
        <f t="shared" si="39"/>
        <v>0</v>
      </c>
      <c r="O89" s="11"/>
      <c r="P89" s="7">
        <v>668.12</v>
      </c>
      <c r="Q89" s="2"/>
      <c r="R89" s="6">
        <f t="shared" si="40"/>
        <v>4.200767671869821E-4</v>
      </c>
      <c r="S89" s="2"/>
      <c r="T89" s="7"/>
      <c r="U89" s="2"/>
      <c r="V89" s="6">
        <f t="shared" si="41"/>
        <v>0</v>
      </c>
      <c r="W89" s="2"/>
      <c r="X89" s="7">
        <f t="shared" si="42"/>
        <v>668.12</v>
      </c>
      <c r="Y89" s="2"/>
      <c r="Z89" s="6">
        <f t="shared" si="43"/>
        <v>0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7">
        <v>8.74</v>
      </c>
      <c r="E90" s="2"/>
      <c r="F90" s="6">
        <f t="shared" si="36"/>
        <v>4.700570689080536E-5</v>
      </c>
      <c r="G90" s="2"/>
      <c r="H90" s="7">
        <v>110</v>
      </c>
      <c r="I90" s="2"/>
      <c r="J90" s="6">
        <f t="shared" si="37"/>
        <v>9.7367535893214368E-4</v>
      </c>
      <c r="K90" s="2"/>
      <c r="L90" s="7">
        <f t="shared" si="38"/>
        <v>-101.26</v>
      </c>
      <c r="M90" s="2"/>
      <c r="N90" s="6">
        <f t="shared" si="39"/>
        <v>-0.92054545454545456</v>
      </c>
      <c r="O90" s="11"/>
      <c r="P90" s="7">
        <v>1410.48</v>
      </c>
      <c r="Q90" s="2"/>
      <c r="R90" s="6">
        <f t="shared" si="40"/>
        <v>8.8683152514801907E-4</v>
      </c>
      <c r="S90" s="2"/>
      <c r="T90" s="7">
        <v>880</v>
      </c>
      <c r="U90" s="2"/>
      <c r="V90" s="6">
        <f t="shared" si="41"/>
        <v>5.0819141029468751E-4</v>
      </c>
      <c r="W90" s="2"/>
      <c r="X90" s="7">
        <f t="shared" si="42"/>
        <v>530.48</v>
      </c>
      <c r="Y90" s="2"/>
      <c r="Z90" s="6">
        <f t="shared" si="43"/>
        <v>0.60281818181818181</v>
      </c>
    </row>
    <row r="91" spans="1:26" s="24" customFormat="1" hidden="1" outlineLevel="2" x14ac:dyDescent="0.25">
      <c r="A91" s="27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6"/>
        <v>0</v>
      </c>
      <c r="G91" s="2"/>
      <c r="H91" s="7">
        <v>200</v>
      </c>
      <c r="I91" s="2"/>
      <c r="J91" s="6">
        <f t="shared" si="37"/>
        <v>1.7703188344220795E-3</v>
      </c>
      <c r="K91" s="2"/>
      <c r="L91" s="7">
        <f t="shared" si="38"/>
        <v>-200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1600</v>
      </c>
      <c r="U91" s="2"/>
      <c r="V91" s="6">
        <f t="shared" si="41"/>
        <v>9.2398438235397724E-4</v>
      </c>
      <c r="W91" s="2"/>
      <c r="X91" s="7">
        <f t="shared" si="42"/>
        <v>-1600</v>
      </c>
      <c r="Y91" s="2"/>
      <c r="Z91" s="6">
        <f t="shared" si="43"/>
        <v>-1</v>
      </c>
    </row>
    <row r="92" spans="1:26" s="28" customFormat="1" outlineLevel="1" collapsed="1" x14ac:dyDescent="0.25">
      <c r="A92" s="29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250.65</v>
      </c>
      <c r="E92" s="1"/>
      <c r="F92" s="5">
        <f t="shared" ref="F92:F95" si="44">IF(D$12=0,0,D92/D$12)</f>
        <v>1.3480526810275015E-3</v>
      </c>
      <c r="G92" s="1"/>
      <c r="H92" s="1">
        <f>SUM(OSRRefH22_11x_0)</f>
        <v>250</v>
      </c>
      <c r="I92" s="1"/>
      <c r="J92" s="5">
        <f t="shared" ref="J92:J95" si="45">IF(H$12=0,0,H92/H$12)</f>
        <v>2.2128985430275995E-3</v>
      </c>
      <c r="K92" s="1"/>
      <c r="L92" s="1">
        <f t="shared" ref="L92:L95" si="46">+D92-H92</f>
        <v>0.65000000000000568</v>
      </c>
      <c r="M92" s="1"/>
      <c r="N92" s="5">
        <f t="shared" ref="N92:N95" si="47">IF(H92=0,0,L92/H92)</f>
        <v>2.6000000000000229E-3</v>
      </c>
      <c r="O92" s="14"/>
      <c r="P92" s="1">
        <f>SUM(OSRRefP22_11x_0)</f>
        <v>2331.4</v>
      </c>
      <c r="Q92" s="1"/>
      <c r="R92" s="5">
        <f t="shared" ref="R92:R95" si="48">IF(P$12=0,0,P92/P$12)</f>
        <v>1.4658548988501019E-3</v>
      </c>
      <c r="S92" s="1"/>
      <c r="T92" s="1">
        <f>SUM(OSRRefT22_11x_0)</f>
        <v>2010</v>
      </c>
      <c r="U92" s="1"/>
      <c r="V92" s="5">
        <f t="shared" ref="V92:V95" si="49">IF(T$12=0,0,T92/T$12)</f>
        <v>1.160755380332184E-3</v>
      </c>
      <c r="W92" s="1"/>
      <c r="X92" s="1">
        <f t="shared" ref="X92:X95" si="50">+P92-T92</f>
        <v>321.40000000000009</v>
      </c>
      <c r="Y92" s="1"/>
      <c r="Z92" s="5">
        <f t="shared" ref="Z92:Z95" si="51">IF(T92=0,0,X92/T92)</f>
        <v>0.15990049751243784</v>
      </c>
    </row>
    <row r="93" spans="1:26" s="24" customFormat="1" hidden="1" outlineLevel="2" x14ac:dyDescent="0.25">
      <c r="A93" s="27"/>
      <c r="B93" s="11" t="str">
        <f>CONCATENATE("          ", "6309", " - ", "TELEPHONE")</f>
        <v xml:space="preserve">          6309 - TELEPHONE</v>
      </c>
      <c r="C93" s="11"/>
      <c r="D93" s="7">
        <v>250.65</v>
      </c>
      <c r="E93" s="2"/>
      <c r="F93" s="6">
        <f t="shared" si="44"/>
        <v>1.3480526810275015E-3</v>
      </c>
      <c r="G93" s="2"/>
      <c r="H93" s="7">
        <v>250</v>
      </c>
      <c r="I93" s="2"/>
      <c r="J93" s="6">
        <f t="shared" si="45"/>
        <v>2.2128985430275995E-3</v>
      </c>
      <c r="K93" s="2"/>
      <c r="L93" s="7">
        <f t="shared" si="46"/>
        <v>0.65000000000000568</v>
      </c>
      <c r="M93" s="2"/>
      <c r="N93" s="6">
        <f t="shared" si="47"/>
        <v>2.6000000000000229E-3</v>
      </c>
      <c r="O93" s="11"/>
      <c r="P93" s="7">
        <v>2331.4</v>
      </c>
      <c r="Q93" s="2"/>
      <c r="R93" s="6">
        <f t="shared" si="48"/>
        <v>1.4658548988501019E-3</v>
      </c>
      <c r="S93" s="2"/>
      <c r="T93" s="7">
        <v>2010</v>
      </c>
      <c r="U93" s="2"/>
      <c r="V93" s="6">
        <f t="shared" si="49"/>
        <v>1.160755380332184E-3</v>
      </c>
      <c r="W93" s="2"/>
      <c r="X93" s="7">
        <f t="shared" si="50"/>
        <v>321.40000000000009</v>
      </c>
      <c r="Y93" s="2"/>
      <c r="Z93" s="6">
        <f t="shared" si="51"/>
        <v>0.15990049751243784</v>
      </c>
    </row>
    <row r="94" spans="1:26" s="28" customFormat="1" outlineLevel="1" collapsed="1" x14ac:dyDescent="0.25">
      <c r="A94" s="29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4"/>
        <v>0</v>
      </c>
      <c r="G94" s="1"/>
      <c r="H94" s="1">
        <f>SUM(OSRRefH22_12x_0)</f>
        <v>1000</v>
      </c>
      <c r="I94" s="1"/>
      <c r="J94" s="5">
        <f t="shared" si="45"/>
        <v>8.8515941721103979E-3</v>
      </c>
      <c r="K94" s="1"/>
      <c r="L94" s="1">
        <f t="shared" si="46"/>
        <v>-1000</v>
      </c>
      <c r="M94" s="1"/>
      <c r="N94" s="5">
        <f t="shared" si="47"/>
        <v>-1</v>
      </c>
      <c r="O94" s="14"/>
      <c r="P94" s="1">
        <f>SUM(OSRRefP22_12x_0)</f>
        <v>100</v>
      </c>
      <c r="Q94" s="1"/>
      <c r="R94" s="5">
        <f t="shared" si="48"/>
        <v>6.287444877970755E-5</v>
      </c>
      <c r="S94" s="1"/>
      <c r="T94" s="1">
        <f>SUM(OSRRefT22_12x_0)</f>
        <v>2500</v>
      </c>
      <c r="U94" s="1"/>
      <c r="V94" s="5">
        <f t="shared" si="49"/>
        <v>1.4437255974280895E-3</v>
      </c>
      <c r="W94" s="1"/>
      <c r="X94" s="1">
        <f t="shared" si="50"/>
        <v>-2400</v>
      </c>
      <c r="Y94" s="1"/>
      <c r="Z94" s="5">
        <f t="shared" si="51"/>
        <v>-0.96</v>
      </c>
    </row>
    <row r="95" spans="1:26" s="24" customFormat="1" hidden="1" outlineLevel="2" x14ac:dyDescent="0.25">
      <c r="A95" s="27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4"/>
        <v>0</v>
      </c>
      <c r="G95" s="2"/>
      <c r="H95" s="7">
        <v>1000</v>
      </c>
      <c r="I95" s="2"/>
      <c r="J95" s="6">
        <f t="shared" si="45"/>
        <v>8.8515941721103979E-3</v>
      </c>
      <c r="K95" s="2"/>
      <c r="L95" s="7">
        <f t="shared" si="46"/>
        <v>-1000</v>
      </c>
      <c r="M95" s="2"/>
      <c r="N95" s="6">
        <f t="shared" si="47"/>
        <v>-1</v>
      </c>
      <c r="O95" s="11"/>
      <c r="P95" s="7">
        <v>100</v>
      </c>
      <c r="Q95" s="2"/>
      <c r="R95" s="6">
        <f t="shared" si="48"/>
        <v>6.287444877970755E-5</v>
      </c>
      <c r="S95" s="2"/>
      <c r="T95" s="7">
        <v>2500</v>
      </c>
      <c r="U95" s="2"/>
      <c r="V95" s="6">
        <f t="shared" si="49"/>
        <v>1.4437255974280895E-3</v>
      </c>
      <c r="W95" s="2"/>
      <c r="X95" s="7">
        <f t="shared" si="50"/>
        <v>-2400</v>
      </c>
      <c r="Y95" s="2"/>
      <c r="Z95" s="6">
        <f t="shared" si="51"/>
        <v>-0.96</v>
      </c>
    </row>
    <row r="96" spans="1:26" s="58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649.6</v>
      </c>
      <c r="E97" s="4"/>
      <c r="F97" s="12">
        <f t="shared" ref="F97:F99" si="52">IF(D$12=0,0,D97/D$12)</f>
        <v>3.4936964755454421E-3</v>
      </c>
      <c r="G97" s="4"/>
      <c r="H97" s="4">
        <f>SUM(OSRRefH25x_0)</f>
        <v>898</v>
      </c>
      <c r="I97" s="4"/>
      <c r="J97" s="12">
        <f t="shared" ref="J97:J99" si="53">IF(H$12=0,0,H97/H$12)</f>
        <v>7.9487315665551367E-3</v>
      </c>
      <c r="K97" s="4"/>
      <c r="L97" s="4">
        <f t="shared" ref="L97:L99" si="54">+D97-H97</f>
        <v>-248.39999999999998</v>
      </c>
      <c r="M97" s="4"/>
      <c r="N97" s="12">
        <f t="shared" ref="N97:N99" si="55">IF(H97=0,0,L97/H97)</f>
        <v>-0.27661469933184851</v>
      </c>
      <c r="O97" s="10"/>
      <c r="P97" s="4">
        <f>SUM(OSRRefP25x_0)</f>
        <v>1278.6399999999999</v>
      </c>
      <c r="Q97" s="4"/>
      <c r="R97" s="12">
        <f t="shared" ref="R97:R99" si="56">IF(P$12=0,0,P97/P$12)</f>
        <v>8.0393785187685249E-4</v>
      </c>
      <c r="S97" s="4"/>
      <c r="T97" s="4">
        <f>SUM(OSRRefT25x_0)</f>
        <v>13772</v>
      </c>
      <c r="U97" s="4"/>
      <c r="V97" s="12">
        <f t="shared" ref="V97:V99" si="57">IF(T$12=0,0,T97/T$12)</f>
        <v>7.9531955711118589E-3</v>
      </c>
      <c r="W97" s="4"/>
      <c r="X97" s="4">
        <f t="shared" ref="X97:X99" si="58">+P97-T97</f>
        <v>-12493.36</v>
      </c>
      <c r="Y97" s="4"/>
      <c r="Z97" s="12">
        <f t="shared" ref="Z97:Z99" si="59">IF(T97=0,0,X97/T97)</f>
        <v>-0.90715654952076685</v>
      </c>
    </row>
    <row r="98" spans="1:26" s="24" customFormat="1" hidden="1" outlineLevel="1" x14ac:dyDescent="0.2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-231.36</f>
        <v>-231.36</v>
      </c>
      <c r="E98" s="2"/>
      <c r="F98" s="22">
        <f t="shared" si="52"/>
        <v>-1.2443066757730811E-3</v>
      </c>
      <c r="G98" s="2"/>
      <c r="H98" s="2"/>
      <c r="I98" s="2"/>
      <c r="J98" s="22">
        <f t="shared" si="53"/>
        <v>0</v>
      </c>
      <c r="K98" s="2"/>
      <c r="L98" s="2">
        <f t="shared" si="54"/>
        <v>-231.36</v>
      </c>
      <c r="M98" s="2"/>
      <c r="N98" s="22">
        <f t="shared" si="55"/>
        <v>0</v>
      </c>
      <c r="O98" s="11"/>
      <c r="P98" s="2">
        <f>--1454.51</f>
        <v>1454.51</v>
      </c>
      <c r="Q98" s="2"/>
      <c r="R98" s="22">
        <f t="shared" si="56"/>
        <v>9.1451514494572434E-4</v>
      </c>
      <c r="S98" s="2"/>
      <c r="T98" s="2"/>
      <c r="U98" s="2"/>
      <c r="V98" s="22">
        <f t="shared" si="57"/>
        <v>0</v>
      </c>
      <c r="W98" s="2"/>
      <c r="X98" s="2">
        <f t="shared" si="58"/>
        <v>1454.51</v>
      </c>
      <c r="Y98" s="2"/>
      <c r="Z98" s="22">
        <f t="shared" si="59"/>
        <v>0</v>
      </c>
    </row>
    <row r="99" spans="1:26" s="24" customFormat="1" hidden="1" outlineLevel="1" x14ac:dyDescent="0.25">
      <c r="A99" s="51"/>
      <c r="B99" s="11" t="str">
        <f>CONCATENATE("          ", "9150", " - ", "MISC. INCOME")</f>
        <v xml:space="preserve">          9150 - MISC. INCOME</v>
      </c>
      <c r="C99" s="11"/>
      <c r="D99" s="2">
        <f>--880.96</f>
        <v>880.96</v>
      </c>
      <c r="E99" s="2"/>
      <c r="F99" s="22">
        <f t="shared" si="52"/>
        <v>4.738003151318523E-3</v>
      </c>
      <c r="G99" s="2"/>
      <c r="H99" s="2">
        <v>898</v>
      </c>
      <c r="I99" s="2"/>
      <c r="J99" s="22">
        <f t="shared" si="53"/>
        <v>7.9487315665551367E-3</v>
      </c>
      <c r="K99" s="2"/>
      <c r="L99" s="2">
        <f t="shared" si="54"/>
        <v>-17.039999999999964</v>
      </c>
      <c r="M99" s="2"/>
      <c r="N99" s="22">
        <f t="shared" si="55"/>
        <v>-1.8975501113585706E-2</v>
      </c>
      <c r="O99" s="11"/>
      <c r="P99" s="2">
        <f>-175.87</f>
        <v>-175.87</v>
      </c>
      <c r="Q99" s="2"/>
      <c r="R99" s="22">
        <f t="shared" si="56"/>
        <v>-1.1057729306887167E-4</v>
      </c>
      <c r="S99" s="2"/>
      <c r="T99" s="2">
        <v>13772</v>
      </c>
      <c r="U99" s="2"/>
      <c r="V99" s="22">
        <f t="shared" si="57"/>
        <v>7.9531955711118589E-3</v>
      </c>
      <c r="W99" s="2"/>
      <c r="X99" s="2">
        <f t="shared" si="58"/>
        <v>-13947.87</v>
      </c>
      <c r="Y99" s="2"/>
      <c r="Z99" s="22">
        <f t="shared" si="59"/>
        <v>-1.0127701132733082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19">
        <f>+D46-D48+D97</f>
        <v>-7998.8600000000042</v>
      </c>
      <c r="E101" s="13"/>
      <c r="F101" s="21">
        <f>IF(D$12=0,0,D101/D$12)</f>
        <v>-4.3019687485193088E-2</v>
      </c>
      <c r="G101" s="13"/>
      <c r="H101" s="19">
        <f>+H46-H48+H97</f>
        <v>6941.7621471538441</v>
      </c>
      <c r="I101" s="13"/>
      <c r="J101" s="21">
        <f>IF(H$12=0,0,H101/H$12)</f>
        <v>6.1445661365923526E-2</v>
      </c>
      <c r="K101" s="15"/>
      <c r="L101" s="19">
        <f>+D101-H101</f>
        <v>-14940.622147153848</v>
      </c>
      <c r="M101" s="15"/>
      <c r="N101" s="21">
        <f>IF(H101=0,0,L101/H101)</f>
        <v>-2.1522809094344404</v>
      </c>
      <c r="O101" s="26"/>
      <c r="P101" s="19">
        <f>+P46-P48+P97</f>
        <v>-23854.02000000012</v>
      </c>
      <c r="Q101" s="13"/>
      <c r="R101" s="21">
        <f>IF(P$12=0,0,P101/P$12)</f>
        <v>-1.4998083586801271E-2</v>
      </c>
      <c r="S101" s="13"/>
      <c r="T101" s="19">
        <f>+T46-T48+T97</f>
        <v>235792.54322049615</v>
      </c>
      <c r="U101" s="13"/>
      <c r="V101" s="21">
        <f>IF(T$12=0,0,T101/T$12)</f>
        <v>0.13616789213203978</v>
      </c>
      <c r="W101" s="15"/>
      <c r="X101" s="19">
        <f>+P101-T101</f>
        <v>-259646.56322049629</v>
      </c>
      <c r="Y101" s="15"/>
      <c r="Z101" s="21">
        <f>IF(T101=0,0,X101/T101)</f>
        <v>-1.101165285696476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60009.689999999995</v>
      </c>
      <c r="E103" s="4"/>
      <c r="F103" s="12">
        <f>IF(D$12=0,0,D103/D$12)</f>
        <v>0.32274575500550268</v>
      </c>
      <c r="G103" s="4"/>
      <c r="H103" s="4">
        <v>16899</v>
      </c>
      <c r="I103" s="4"/>
      <c r="J103" s="12">
        <f>IF(H$12=0,0,H103/H$12)</f>
        <v>0.14958308991449359</v>
      </c>
      <c r="K103" s="4"/>
      <c r="L103" s="4">
        <f>+D103-H103</f>
        <v>43110.689999999995</v>
      </c>
      <c r="M103" s="4"/>
      <c r="N103" s="12">
        <f>IF(H103=0,0,L103/H103)</f>
        <v>2.5510793538079173</v>
      </c>
      <c r="O103" s="10"/>
      <c r="P103" s="4">
        <v>314970.19</v>
      </c>
      <c r="Q103" s="4"/>
      <c r="R103" s="12">
        <f>IF(P$12=0,0,P103/P$12)</f>
        <v>0.19803577078289755</v>
      </c>
      <c r="S103" s="4"/>
      <c r="T103" s="4">
        <v>297804</v>
      </c>
      <c r="U103" s="4"/>
      <c r="V103" s="12">
        <f>IF(T$12=0,0,T103/T$12)</f>
        <v>0.17197890312658989</v>
      </c>
      <c r="W103" s="4"/>
      <c r="X103" s="4">
        <f>+P103-T103</f>
        <v>17166.190000000002</v>
      </c>
      <c r="Y103" s="4"/>
      <c r="Z103" s="12">
        <f>IF(T103=0,0,X103/T103)</f>
        <v>5.7642576996951023E-2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-68008.55</v>
      </c>
      <c r="E105" s="13"/>
      <c r="F105" s="30">
        <f>IF(D$12=0,0,D105/D$12)</f>
        <v>-0.36576544249069576</v>
      </c>
      <c r="G105" s="13"/>
      <c r="H105" s="34">
        <f>+H101-H103</f>
        <v>-9957.2378528461559</v>
      </c>
      <c r="I105" s="13"/>
      <c r="J105" s="30">
        <f>IF(H$12=0,0,H105/H$12)</f>
        <v>-8.8137428548570082E-2</v>
      </c>
      <c r="K105" s="15"/>
      <c r="L105" s="34">
        <f>D105-H105</f>
        <v>-58051.312147153847</v>
      </c>
      <c r="M105" s="15"/>
      <c r="N105" s="30">
        <f>IF(H105=0,0,L105/H105)</f>
        <v>5.830061810822424</v>
      </c>
      <c r="O105" s="26"/>
      <c r="P105" s="34">
        <f>+P101-P103</f>
        <v>-338824.21000000014</v>
      </c>
      <c r="Q105" s="13"/>
      <c r="R105" s="30">
        <f>IF(P$12=0,0,P105/P$12)</f>
        <v>-0.21303385436969882</v>
      </c>
      <c r="S105" s="13"/>
      <c r="T105" s="34">
        <f>+T101-T103</f>
        <v>-62011.456779503846</v>
      </c>
      <c r="U105" s="13"/>
      <c r="V105" s="30">
        <f>IF(T$12=0,0,T105/T$12)</f>
        <v>-3.5811010994550134E-2</v>
      </c>
      <c r="W105" s="15"/>
      <c r="X105" s="34">
        <f>P105-T105</f>
        <v>-276812.75322049629</v>
      </c>
      <c r="Y105" s="15"/>
      <c r="Z105" s="30">
        <f>IF(T105=0,0,X105/T105)</f>
        <v>4.4638969570537332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5">
        <f>SUM(D105:D107)</f>
        <v>-68008.55</v>
      </c>
      <c r="E108" s="13"/>
      <c r="F108" s="31">
        <f>IF(D$12=0,0,D108/D$12)</f>
        <v>-0.36576544249069576</v>
      </c>
      <c r="G108" s="13"/>
      <c r="H108" s="35">
        <f>SUM(H105:H107)</f>
        <v>-9957.2378528461559</v>
      </c>
      <c r="I108" s="13"/>
      <c r="J108" s="31">
        <f>IF(H$12=0,0,H108/H$12)</f>
        <v>-8.8137428548570082E-2</v>
      </c>
      <c r="K108" s="15"/>
      <c r="L108" s="35">
        <f>+D108-H108</f>
        <v>-58051.312147153847</v>
      </c>
      <c r="M108" s="15"/>
      <c r="N108" s="31">
        <f>IF(H108=0,0,L108/H108)</f>
        <v>5.830061810822424</v>
      </c>
      <c r="O108" s="26"/>
      <c r="P108" s="35">
        <f>SUM(P105:P107)</f>
        <v>-338824.21000000014</v>
      </c>
      <c r="Q108" s="13"/>
      <c r="R108" s="31">
        <f>IF(P$12=0,0,P108/P$12)</f>
        <v>-0.21303385436969882</v>
      </c>
      <c r="S108" s="13"/>
      <c r="T108" s="35">
        <f>SUM(T105:T107)</f>
        <v>-62011.456779503846</v>
      </c>
      <c r="U108" s="13"/>
      <c r="V108" s="31">
        <f>IF(T$12=0,0,T108/T$12)</f>
        <v>-3.5811010994550134E-2</v>
      </c>
      <c r="W108" s="15"/>
      <c r="X108" s="35">
        <f>+P108-T108</f>
        <v>-276812.75322049629</v>
      </c>
      <c r="Y108" s="15"/>
      <c r="Z108" s="31">
        <f>IF(T108=0,0,X108/T108)</f>
        <v>4.4638969570537332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3">
        <v>44267.67187766204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2" t="s">
        <v>314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7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134</v>
      </c>
      <c r="E12" s="4"/>
      <c r="F12" s="12"/>
      <c r="G12" s="4"/>
      <c r="H12" s="4">
        <f>SUM(OSRRefH13x_0)</f>
        <v>115792</v>
      </c>
      <c r="I12" s="4"/>
      <c r="J12" s="12"/>
      <c r="K12" s="4"/>
      <c r="L12" s="4">
        <f t="shared" ref="L12:L17" si="0">+D12-H12</f>
        <v>-115658</v>
      </c>
      <c r="M12" s="4"/>
      <c r="N12" s="12">
        <f t="shared" ref="N12:N17" si="1">IF(H12=0,0,L12/H12)</f>
        <v>-0.99884275252176313</v>
      </c>
      <c r="O12" s="10"/>
      <c r="P12" s="4">
        <f>SUM(OSRRefP13x_0)</f>
        <v>2720.4700000000003</v>
      </c>
      <c r="Q12" s="4"/>
      <c r="R12" s="12"/>
      <c r="S12" s="4"/>
      <c r="T12" s="4">
        <f>SUM(OSRRefT13x_0)</f>
        <v>358341</v>
      </c>
      <c r="U12" s="4"/>
      <c r="V12" s="12"/>
      <c r="W12" s="4"/>
      <c r="X12" s="4">
        <f t="shared" ref="X12:X17" si="2">+P12-T12</f>
        <v>-355620.53</v>
      </c>
      <c r="Y12" s="4"/>
      <c r="Z12" s="12">
        <f t="shared" ref="Z12:Z17" si="3">IF(T12=0,0,X12/T12)</f>
        <v>-0.99240815312788666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22"/>
      <c r="G13" s="2"/>
      <c r="H13" s="2">
        <v>8965</v>
      </c>
      <c r="I13" s="2"/>
      <c r="J13" s="22"/>
      <c r="K13" s="2"/>
      <c r="L13" s="2">
        <f t="shared" si="0"/>
        <v>-8965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29702</v>
      </c>
      <c r="U13" s="2"/>
      <c r="V13" s="22"/>
      <c r="W13" s="2"/>
      <c r="X13" s="2">
        <f t="shared" si="2"/>
        <v>-29702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106827</v>
      </c>
      <c r="I15" s="2"/>
      <c r="J15" s="22"/>
      <c r="K15" s="2"/>
      <c r="L15" s="2">
        <f t="shared" si="0"/>
        <v>-106827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328639</v>
      </c>
      <c r="U15" s="2"/>
      <c r="V15" s="22"/>
      <c r="W15" s="2"/>
      <c r="X15" s="2">
        <f t="shared" si="2"/>
        <v>-328639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>--134</f>
        <v>134</v>
      </c>
      <c r="E17" s="2"/>
      <c r="F17" s="22"/>
      <c r="G17" s="2"/>
      <c r="H17" s="2"/>
      <c r="I17" s="2"/>
      <c r="J17" s="22"/>
      <c r="K17" s="2"/>
      <c r="L17" s="2">
        <f t="shared" si="0"/>
        <v>134</v>
      </c>
      <c r="M17" s="2"/>
      <c r="N17" s="22">
        <f t="shared" si="1"/>
        <v>0</v>
      </c>
      <c r="O17" s="11"/>
      <c r="P17" s="2">
        <f>--244</f>
        <v>244</v>
      </c>
      <c r="Q17" s="2"/>
      <c r="R17" s="22"/>
      <c r="S17" s="2"/>
      <c r="T17" s="2"/>
      <c r="U17" s="2"/>
      <c r="V17" s="22"/>
      <c r="W17" s="2"/>
      <c r="X17" s="2">
        <f t="shared" si="2"/>
        <v>244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19149</v>
      </c>
      <c r="E19" s="4"/>
      <c r="F19" s="12">
        <f t="shared" ref="F19:F22" si="5">IF(D$12=0,0,D19/D$12)</f>
        <v>142.90298507462686</v>
      </c>
      <c r="G19" s="4"/>
      <c r="H19" s="4">
        <f>SUM(OSRRefH16x_0)</f>
        <v>56304</v>
      </c>
      <c r="I19" s="4"/>
      <c r="J19" s="12">
        <f t="shared" ref="J19:J22" si="6">IF(H$12=0,0,H19/H$12)</f>
        <v>0.48625120906452951</v>
      </c>
      <c r="K19" s="4"/>
      <c r="L19" s="4">
        <f t="shared" ref="L19:L22" si="7">+D19-H19</f>
        <v>-37155</v>
      </c>
      <c r="M19" s="4"/>
      <c r="N19" s="12">
        <f t="shared" ref="N19:N22" si="8">IF(H19=0,0,L19/H19)</f>
        <v>-0.6598998294970162</v>
      </c>
      <c r="O19" s="10"/>
      <c r="P19" s="4">
        <f>SUM(OSRRefP16x_0)</f>
        <v>28023.96</v>
      </c>
      <c r="Q19" s="4"/>
      <c r="R19" s="12">
        <f t="shared" ref="R19:R22" si="9">IF(P$12=0,0,P19/P$12)</f>
        <v>10.301146493069211</v>
      </c>
      <c r="S19" s="4"/>
      <c r="T19" s="4">
        <f>SUM(OSRRefT16x_0)</f>
        <v>163562</v>
      </c>
      <c r="U19" s="4"/>
      <c r="V19" s="12">
        <f t="shared" ref="V19:V22" si="10">IF(T$12=0,0,T19/T$12)</f>
        <v>0.4564423272804396</v>
      </c>
      <c r="W19" s="4"/>
      <c r="X19" s="4">
        <f t="shared" ref="X19:X22" si="11">+P19-T19</f>
        <v>-135538.04</v>
      </c>
      <c r="Y19" s="4"/>
      <c r="Z19" s="12">
        <f t="shared" ref="Z19:Z22" si="12">IF(T19=0,0,X19/T19)</f>
        <v>-0.82866460424793054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56304</v>
      </c>
      <c r="I20" s="2"/>
      <c r="J20" s="22">
        <f t="shared" si="6"/>
        <v>0.48625120906452951</v>
      </c>
      <c r="K20" s="2"/>
      <c r="L20" s="2">
        <f t="shared" si="7"/>
        <v>-56304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163562</v>
      </c>
      <c r="U20" s="2"/>
      <c r="V20" s="22">
        <f t="shared" si="10"/>
        <v>0.4564423272804396</v>
      </c>
      <c r="W20" s="2"/>
      <c r="X20" s="2">
        <f t="shared" si="11"/>
        <v>-163562</v>
      </c>
      <c r="Y20" s="2"/>
      <c r="Z20" s="22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-2822.95</v>
      </c>
      <c r="Q21" s="2"/>
      <c r="R21" s="22">
        <f t="shared" si="9"/>
        <v>-1.0376699614404863</v>
      </c>
      <c r="S21" s="2"/>
      <c r="T21" s="2"/>
      <c r="U21" s="2"/>
      <c r="V21" s="22">
        <f t="shared" si="10"/>
        <v>0</v>
      </c>
      <c r="W21" s="2"/>
      <c r="X21" s="2">
        <f t="shared" si="11"/>
        <v>-2822.95</v>
      </c>
      <c r="Y21" s="2"/>
      <c r="Z21" s="22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>
        <v>19149</v>
      </c>
      <c r="E22" s="2"/>
      <c r="F22" s="22">
        <f t="shared" si="5"/>
        <v>142.90298507462686</v>
      </c>
      <c r="G22" s="2"/>
      <c r="H22" s="2"/>
      <c r="I22" s="2"/>
      <c r="J22" s="22">
        <f t="shared" si="6"/>
        <v>0</v>
      </c>
      <c r="K22" s="2"/>
      <c r="L22" s="2">
        <f t="shared" si="7"/>
        <v>19149</v>
      </c>
      <c r="M22" s="2"/>
      <c r="N22" s="22">
        <f t="shared" si="8"/>
        <v>0</v>
      </c>
      <c r="O22" s="11"/>
      <c r="P22" s="2">
        <v>30846.91</v>
      </c>
      <c r="Q22" s="2"/>
      <c r="R22" s="22">
        <f t="shared" si="9"/>
        <v>11.338816454509697</v>
      </c>
      <c r="S22" s="2"/>
      <c r="T22" s="2"/>
      <c r="U22" s="2"/>
      <c r="V22" s="22">
        <f t="shared" si="10"/>
        <v>0</v>
      </c>
      <c r="W22" s="2"/>
      <c r="X22" s="2">
        <f t="shared" si="11"/>
        <v>30846.91</v>
      </c>
      <c r="Y22" s="2"/>
      <c r="Z22" s="22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19">
        <f>D12-D19</f>
        <v>-19015</v>
      </c>
      <c r="E24" s="13"/>
      <c r="F24" s="21">
        <f>IF(D$12=0,0,D24/D$12)</f>
        <v>-141.90298507462686</v>
      </c>
      <c r="G24" s="13"/>
      <c r="H24" s="19">
        <f>H12-H19</f>
        <v>59488</v>
      </c>
      <c r="I24" s="13"/>
      <c r="J24" s="21">
        <f>IF(H$12=0,0,H24/H$12)</f>
        <v>0.51374879093547055</v>
      </c>
      <c r="K24" s="15"/>
      <c r="L24" s="19">
        <f>+D24-H24</f>
        <v>-78503</v>
      </c>
      <c r="M24" s="15"/>
      <c r="N24" s="21">
        <f>IF(H24=0,0,L24/H24)</f>
        <v>-1.3196442980096825</v>
      </c>
      <c r="O24" s="26"/>
      <c r="P24" s="19">
        <f>P12-P19</f>
        <v>-25303.489999999998</v>
      </c>
      <c r="Q24" s="13"/>
      <c r="R24" s="21">
        <f>IF(P$12=0,0,P24/P$12)</f>
        <v>-9.3011464930692114</v>
      </c>
      <c r="S24" s="13"/>
      <c r="T24" s="19">
        <f>T12-T19</f>
        <v>194779</v>
      </c>
      <c r="U24" s="13"/>
      <c r="V24" s="21">
        <f>IF(T$12=0,0,T24/T$12)</f>
        <v>0.54355767271956046</v>
      </c>
      <c r="W24" s="15"/>
      <c r="X24" s="19">
        <f>+P24-T24</f>
        <v>-220082.49</v>
      </c>
      <c r="Y24" s="15"/>
      <c r="Z24" s="21">
        <f>IF(T24=0,0,X24/T24)</f>
        <v>-1.1299087170588205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20">
        <f>SUM(OSRRefD22x_0)</f>
        <v>15632.02</v>
      </c>
      <c r="E26" s="20"/>
      <c r="F26" s="33">
        <f t="shared" ref="F26:F36" si="13">IF(D$12=0,0,D26/D$12)</f>
        <v>116.6568656716418</v>
      </c>
      <c r="G26" s="20"/>
      <c r="H26" s="20">
        <f>SUM(OSRRefH22x_0)</f>
        <v>68895.687172400008</v>
      </c>
      <c r="I26" s="20"/>
      <c r="J26" s="33">
        <f t="shared" ref="J26:J36" si="14">IF(H$12=0,0,H26/H$12)</f>
        <v>0.59499522568398511</v>
      </c>
      <c r="K26" s="4"/>
      <c r="L26" s="20">
        <f t="shared" ref="L26:L36" si="15">+D26-H26</f>
        <v>-53263.667172400004</v>
      </c>
      <c r="M26" s="4"/>
      <c r="N26" s="33">
        <f t="shared" ref="N26:N36" si="16">IF(H26=0,0,L26/H26)</f>
        <v>-0.77310597162804295</v>
      </c>
      <c r="O26" s="10"/>
      <c r="P26" s="20">
        <f>SUM(OSRRefP22x_0)</f>
        <v>203591.91000000003</v>
      </c>
      <c r="Q26" s="20"/>
      <c r="R26" s="33">
        <f t="shared" ref="R26:R36" si="17">IF(P$12=0,0,P26/P$12)</f>
        <v>74.837035512246047</v>
      </c>
      <c r="S26" s="20"/>
      <c r="T26" s="20">
        <f>SUM(OSRRefT22x_0)</f>
        <v>432788.02760610002</v>
      </c>
      <c r="U26" s="20"/>
      <c r="V26" s="33">
        <f t="shared" ref="V26:V36" si="18">IF(T$12=0,0,T26/T$12)</f>
        <v>1.2077547018234029</v>
      </c>
      <c r="W26" s="4"/>
      <c r="X26" s="20">
        <f t="shared" ref="X26:X36" si="19">+P26-T26</f>
        <v>-229196.11760609999</v>
      </c>
      <c r="Y26" s="4"/>
      <c r="Z26" s="33">
        <f t="shared" ref="Z26:Z36" si="20">IF(T26=0,0,X26/T26)</f>
        <v>-0.52958054055668502</v>
      </c>
    </row>
    <row r="27" spans="1:26" s="28" customFormat="1" outlineLevel="1" collapsed="1" x14ac:dyDescent="0.25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0</v>
      </c>
      <c r="E27" s="1"/>
      <c r="F27" s="5">
        <f t="shared" si="13"/>
        <v>0</v>
      </c>
      <c r="G27" s="1"/>
      <c r="H27" s="1">
        <f>SUM(OSRRefH22_0x_0)</f>
        <v>8085.2431723999998</v>
      </c>
      <c r="I27" s="1"/>
      <c r="J27" s="5">
        <f t="shared" si="14"/>
        <v>6.9825576658145636E-2</v>
      </c>
      <c r="K27" s="1"/>
      <c r="L27" s="1">
        <f t="shared" si="15"/>
        <v>-8085.2431723999998</v>
      </c>
      <c r="M27" s="1"/>
      <c r="N27" s="5">
        <f t="shared" si="16"/>
        <v>-1</v>
      </c>
      <c r="O27" s="14"/>
      <c r="P27" s="1">
        <f>SUM(OSRRefP22_0x_0)</f>
        <v>35025.26</v>
      </c>
      <c r="Q27" s="1"/>
      <c r="R27" s="5">
        <f t="shared" si="17"/>
        <v>12.874709149521957</v>
      </c>
      <c r="S27" s="1"/>
      <c r="T27" s="1">
        <f>SUM(OSRRefT22_0x_0)</f>
        <v>61335.254606100003</v>
      </c>
      <c r="U27" s="1"/>
      <c r="V27" s="5">
        <f t="shared" si="18"/>
        <v>0.17116449026513852</v>
      </c>
      <c r="W27" s="1"/>
      <c r="X27" s="1">
        <f t="shared" si="19"/>
        <v>-26309.994606100001</v>
      </c>
      <c r="Y27" s="1"/>
      <c r="Z27" s="5">
        <f t="shared" si="20"/>
        <v>-0.4289538663378008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3"/>
        <v>0</v>
      </c>
      <c r="G28" s="2"/>
      <c r="H28" s="7">
        <v>1204.2975084</v>
      </c>
      <c r="I28" s="2"/>
      <c r="J28" s="6">
        <f t="shared" si="14"/>
        <v>1.0400524288379162E-2</v>
      </c>
      <c r="K28" s="2"/>
      <c r="L28" s="7">
        <f t="shared" si="15"/>
        <v>-1204.2975084</v>
      </c>
      <c r="M28" s="2"/>
      <c r="N28" s="6">
        <f t="shared" si="16"/>
        <v>-1</v>
      </c>
      <c r="O28" s="11"/>
      <c r="P28" s="7">
        <v>3909.68</v>
      </c>
      <c r="Q28" s="2"/>
      <c r="R28" s="6">
        <f t="shared" si="17"/>
        <v>1.4371340246354489</v>
      </c>
      <c r="S28" s="2"/>
      <c r="T28" s="7">
        <v>8756.0934711000009</v>
      </c>
      <c r="U28" s="2"/>
      <c r="V28" s="6">
        <f t="shared" si="18"/>
        <v>2.4435086889582829E-2</v>
      </c>
      <c r="W28" s="2"/>
      <c r="X28" s="7">
        <f t="shared" si="19"/>
        <v>-4846.4134711000006</v>
      </c>
      <c r="Y28" s="2"/>
      <c r="Z28" s="6">
        <f t="shared" si="20"/>
        <v>-0.55349037639854715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3"/>
        <v>0</v>
      </c>
      <c r="G29" s="2"/>
      <c r="H29" s="7">
        <v>620.82744000000002</v>
      </c>
      <c r="I29" s="2"/>
      <c r="J29" s="6">
        <f t="shared" si="14"/>
        <v>5.3615745474644193E-3</v>
      </c>
      <c r="K29" s="2"/>
      <c r="L29" s="7">
        <f t="shared" si="15"/>
        <v>-620.82744000000002</v>
      </c>
      <c r="M29" s="2"/>
      <c r="N29" s="6">
        <f t="shared" si="16"/>
        <v>-1</v>
      </c>
      <c r="O29" s="11"/>
      <c r="P29" s="7">
        <v>830.67</v>
      </c>
      <c r="Q29" s="2"/>
      <c r="R29" s="6">
        <f t="shared" si="17"/>
        <v>0.30534062128970357</v>
      </c>
      <c r="S29" s="2"/>
      <c r="T29" s="7">
        <v>3463.345225</v>
      </c>
      <c r="U29" s="2"/>
      <c r="V29" s="6">
        <f t="shared" si="18"/>
        <v>9.6649426802961434E-3</v>
      </c>
      <c r="W29" s="2"/>
      <c r="X29" s="7">
        <f t="shared" si="19"/>
        <v>-2632.675225</v>
      </c>
      <c r="Y29" s="2"/>
      <c r="Z29" s="6">
        <f t="shared" si="20"/>
        <v>-0.76015385529463064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3"/>
        <v>0</v>
      </c>
      <c r="G30" s="2"/>
      <c r="H30" s="7">
        <v>3960</v>
      </c>
      <c r="I30" s="2"/>
      <c r="J30" s="6">
        <f t="shared" si="14"/>
        <v>3.419925383446179E-2</v>
      </c>
      <c r="K30" s="2"/>
      <c r="L30" s="7">
        <f t="shared" si="15"/>
        <v>-3960</v>
      </c>
      <c r="M30" s="2"/>
      <c r="N30" s="6">
        <f t="shared" si="16"/>
        <v>-1</v>
      </c>
      <c r="O30" s="11"/>
      <c r="P30" s="7">
        <v>18067.72</v>
      </c>
      <c r="Q30" s="2"/>
      <c r="R30" s="6">
        <f t="shared" si="17"/>
        <v>6.641396523394854</v>
      </c>
      <c r="S30" s="2"/>
      <c r="T30" s="7">
        <v>31680</v>
      </c>
      <c r="U30" s="2"/>
      <c r="V30" s="6">
        <f t="shared" si="18"/>
        <v>8.8407410818187149E-2</v>
      </c>
      <c r="W30" s="2"/>
      <c r="X30" s="7">
        <f t="shared" si="19"/>
        <v>-13612.279999999999</v>
      </c>
      <c r="Y30" s="2"/>
      <c r="Z30" s="6">
        <f t="shared" si="20"/>
        <v>-0.42968055555555551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3"/>
        <v>0</v>
      </c>
      <c r="G31" s="2"/>
      <c r="H31" s="7">
        <v>87.251424</v>
      </c>
      <c r="I31" s="2"/>
      <c r="J31" s="6">
        <f t="shared" si="14"/>
        <v>7.5351858504905348E-4</v>
      </c>
      <c r="K31" s="2"/>
      <c r="L31" s="7">
        <f t="shared" si="15"/>
        <v>-87.251424</v>
      </c>
      <c r="M31" s="2"/>
      <c r="N31" s="6">
        <f t="shared" si="16"/>
        <v>-1</v>
      </c>
      <c r="O31" s="11"/>
      <c r="P31" s="7">
        <v>132.15</v>
      </c>
      <c r="Q31" s="2"/>
      <c r="R31" s="6">
        <f t="shared" si="17"/>
        <v>4.8576165147933996E-2</v>
      </c>
      <c r="S31" s="2"/>
      <c r="T31" s="7">
        <v>486.74041</v>
      </c>
      <c r="U31" s="2"/>
      <c r="V31" s="6">
        <f t="shared" si="18"/>
        <v>1.3583162685821605E-3</v>
      </c>
      <c r="W31" s="2"/>
      <c r="X31" s="7">
        <f t="shared" si="19"/>
        <v>-354.59041000000002</v>
      </c>
      <c r="Y31" s="2"/>
      <c r="Z31" s="6">
        <f t="shared" si="20"/>
        <v>-0.72850004379130961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3"/>
        <v>0</v>
      </c>
      <c r="G32" s="2"/>
      <c r="H32" s="7">
        <v>865.05679999999995</v>
      </c>
      <c r="I32" s="2"/>
      <c r="J32" s="6">
        <f t="shared" si="14"/>
        <v>7.4707820920270826E-3</v>
      </c>
      <c r="K32" s="2"/>
      <c r="L32" s="7">
        <f t="shared" si="15"/>
        <v>-865.05679999999995</v>
      </c>
      <c r="M32" s="2"/>
      <c r="N32" s="6">
        <f t="shared" si="16"/>
        <v>-1</v>
      </c>
      <c r="O32" s="11"/>
      <c r="P32" s="7">
        <v>5525.49</v>
      </c>
      <c r="Q32" s="2"/>
      <c r="R32" s="6">
        <f t="shared" si="17"/>
        <v>2.0310791885225714</v>
      </c>
      <c r="S32" s="2"/>
      <c r="T32" s="7">
        <v>7383.2118000000009</v>
      </c>
      <c r="U32" s="2"/>
      <c r="V32" s="6">
        <f t="shared" si="18"/>
        <v>2.0603871172988859E-2</v>
      </c>
      <c r="W32" s="2"/>
      <c r="X32" s="7">
        <f t="shared" si="19"/>
        <v>-1857.7218000000012</v>
      </c>
      <c r="Y32" s="2"/>
      <c r="Z32" s="6">
        <f t="shared" si="20"/>
        <v>-0.25161431776886056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/>
      <c r="E34" s="2"/>
      <c r="F34" s="6">
        <f t="shared" si="13"/>
        <v>0</v>
      </c>
      <c r="G34" s="2"/>
      <c r="H34" s="7">
        <v>391.62</v>
      </c>
      <c r="I34" s="2"/>
      <c r="J34" s="6">
        <f t="shared" si="14"/>
        <v>3.3820989360232143E-3</v>
      </c>
      <c r="K34" s="2"/>
      <c r="L34" s="7">
        <f t="shared" si="15"/>
        <v>-391.62</v>
      </c>
      <c r="M34" s="2"/>
      <c r="N34" s="6">
        <f t="shared" si="16"/>
        <v>-1</v>
      </c>
      <c r="O34" s="11"/>
      <c r="P34" s="7">
        <v>3386</v>
      </c>
      <c r="Q34" s="2"/>
      <c r="R34" s="6">
        <f t="shared" si="17"/>
        <v>1.2446378750730571</v>
      </c>
      <c r="S34" s="2"/>
      <c r="T34" s="7">
        <v>3318.5149999999999</v>
      </c>
      <c r="U34" s="2"/>
      <c r="V34" s="6">
        <f t="shared" si="18"/>
        <v>9.2607739555339748E-3</v>
      </c>
      <c r="W34" s="2"/>
      <c r="X34" s="7">
        <f t="shared" si="19"/>
        <v>67.485000000000127</v>
      </c>
      <c r="Y34" s="2"/>
      <c r="Z34" s="6">
        <f t="shared" si="20"/>
        <v>2.0335903257933181E-2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/>
      <c r="E35" s="2"/>
      <c r="F35" s="6">
        <f t="shared" si="13"/>
        <v>0</v>
      </c>
      <c r="G35" s="2"/>
      <c r="H35" s="7">
        <v>781.19</v>
      </c>
      <c r="I35" s="2"/>
      <c r="J35" s="6">
        <f t="shared" si="14"/>
        <v>6.7464937128644473E-3</v>
      </c>
      <c r="K35" s="2"/>
      <c r="L35" s="7">
        <f t="shared" si="15"/>
        <v>-781.19</v>
      </c>
      <c r="M35" s="2"/>
      <c r="N35" s="6">
        <f t="shared" si="16"/>
        <v>-1</v>
      </c>
      <c r="O35" s="11"/>
      <c r="P35" s="7">
        <v>2447.1799999999998</v>
      </c>
      <c r="Q35" s="2"/>
      <c r="R35" s="6">
        <f t="shared" si="17"/>
        <v>0.89954309365661067</v>
      </c>
      <c r="S35" s="2"/>
      <c r="T35" s="7">
        <v>4847.3487000000005</v>
      </c>
      <c r="U35" s="2"/>
      <c r="V35" s="6">
        <f t="shared" si="18"/>
        <v>1.3527195325123278E-2</v>
      </c>
      <c r="W35" s="2"/>
      <c r="X35" s="7">
        <f t="shared" si="19"/>
        <v>-2400.1687000000006</v>
      </c>
      <c r="Y35" s="2"/>
      <c r="Z35" s="6">
        <f t="shared" si="20"/>
        <v>-0.49515082337691124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/>
      <c r="E36" s="2"/>
      <c r="F36" s="6">
        <f t="shared" si="13"/>
        <v>0</v>
      </c>
      <c r="G36" s="2"/>
      <c r="H36" s="7">
        <v>175</v>
      </c>
      <c r="I36" s="2"/>
      <c r="J36" s="6">
        <f t="shared" si="14"/>
        <v>1.5113306618764681E-3</v>
      </c>
      <c r="K36" s="2"/>
      <c r="L36" s="7">
        <f t="shared" si="15"/>
        <v>-175</v>
      </c>
      <c r="M36" s="2"/>
      <c r="N36" s="6">
        <f t="shared" si="16"/>
        <v>-1</v>
      </c>
      <c r="O36" s="11"/>
      <c r="P36" s="7">
        <v>726.37</v>
      </c>
      <c r="Q36" s="2"/>
      <c r="R36" s="6">
        <f t="shared" si="17"/>
        <v>0.26700165780177687</v>
      </c>
      <c r="S36" s="2"/>
      <c r="T36" s="7">
        <v>1400</v>
      </c>
      <c r="U36" s="2"/>
      <c r="V36" s="6">
        <f t="shared" si="18"/>
        <v>3.9068931548441287E-3</v>
      </c>
      <c r="W36" s="2"/>
      <c r="X36" s="7">
        <f t="shared" si="19"/>
        <v>-673.63</v>
      </c>
      <c r="Y36" s="2"/>
      <c r="Z36" s="6">
        <f t="shared" si="20"/>
        <v>-0.48116428571428571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0</v>
      </c>
      <c r="E37" s="1"/>
      <c r="F37" s="5">
        <f t="shared" ref="F37:F47" si="21">IF(D$12=0,0,D37/D$12)</f>
        <v>0</v>
      </c>
      <c r="G37" s="1"/>
      <c r="H37" s="1">
        <f>SUM(OSRRefH22_1x_0)</f>
        <v>32614.443999999996</v>
      </c>
      <c r="I37" s="1"/>
      <c r="J37" s="5">
        <f t="shared" ref="J37:J47" si="22">IF(H$12=0,0,H37/H$12)</f>
        <v>0.28166405278430284</v>
      </c>
      <c r="K37" s="1"/>
      <c r="L37" s="1">
        <f t="shared" ref="L37:L47" si="23">+D37-H37</f>
        <v>-32614.443999999996</v>
      </c>
      <c r="M37" s="1"/>
      <c r="N37" s="5">
        <f t="shared" ref="N37:N47" si="24">IF(H37=0,0,L37/H37)</f>
        <v>-1</v>
      </c>
      <c r="O37" s="14"/>
      <c r="P37" s="1">
        <f>SUM(OSRRefP22_1x_0)</f>
        <v>41960.38</v>
      </c>
      <c r="Q37" s="1"/>
      <c r="R37" s="5">
        <f t="shared" ref="R37:R47" si="25">IF(P$12=0,0,P37/P$12)</f>
        <v>15.423945127128766</v>
      </c>
      <c r="S37" s="1"/>
      <c r="T37" s="1">
        <f>SUM(OSRRefT22_1x_0)</f>
        <v>180088.77299999999</v>
      </c>
      <c r="U37" s="1"/>
      <c r="V37" s="5">
        <f t="shared" ref="V37:V47" si="26">IF(T$12=0,0,T37/T$12)</f>
        <v>0.50256256749855577</v>
      </c>
      <c r="W37" s="1"/>
      <c r="X37" s="1">
        <f t="shared" ref="X37:X47" si="27">+P37-T37</f>
        <v>-138128.39299999998</v>
      </c>
      <c r="Y37" s="1"/>
      <c r="Z37" s="5">
        <f t="shared" ref="Z37:Z47" si="28">IF(T37=0,0,X37/T37)</f>
        <v>-0.76700168866162466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5287.7</v>
      </c>
      <c r="I38" s="2"/>
      <c r="J38" s="6">
        <f t="shared" si="22"/>
        <v>4.5665503661738285E-2</v>
      </c>
      <c r="K38" s="2"/>
      <c r="L38" s="7">
        <f t="shared" si="23"/>
        <v>-5287.7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46267.375</v>
      </c>
      <c r="U38" s="2"/>
      <c r="V38" s="6">
        <f t="shared" si="26"/>
        <v>0.12911549334293312</v>
      </c>
      <c r="W38" s="2"/>
      <c r="X38" s="7">
        <f t="shared" si="27"/>
        <v>-46267.375</v>
      </c>
      <c r="Y38" s="2"/>
      <c r="Z38" s="6">
        <f t="shared" si="28"/>
        <v>-1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/>
      <c r="E39" s="2"/>
      <c r="F39" s="6">
        <f t="shared" si="21"/>
        <v>0</v>
      </c>
      <c r="G39" s="2"/>
      <c r="H39" s="7">
        <v>4043.52</v>
      </c>
      <c r="I39" s="2"/>
      <c r="J39" s="6">
        <f t="shared" si="22"/>
        <v>3.4920547188061354E-2</v>
      </c>
      <c r="K39" s="2"/>
      <c r="L39" s="7">
        <f t="shared" si="23"/>
        <v>-4043.52</v>
      </c>
      <c r="M39" s="2"/>
      <c r="N39" s="6">
        <f t="shared" si="24"/>
        <v>-1</v>
      </c>
      <c r="O39" s="11"/>
      <c r="P39" s="7">
        <v>39828.42</v>
      </c>
      <c r="Q39" s="2"/>
      <c r="R39" s="6">
        <f t="shared" si="25"/>
        <v>14.640271717754651</v>
      </c>
      <c r="S39" s="2"/>
      <c r="T39" s="7">
        <v>33433.919999999998</v>
      </c>
      <c r="U39" s="2"/>
      <c r="V39" s="6">
        <f t="shared" si="26"/>
        <v>9.3301966562575861E-2</v>
      </c>
      <c r="W39" s="2"/>
      <c r="X39" s="7">
        <f t="shared" si="27"/>
        <v>6394.5</v>
      </c>
      <c r="Y39" s="2"/>
      <c r="Z39" s="6">
        <f t="shared" si="28"/>
        <v>0.19125786028081662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1"/>
        <v>0</v>
      </c>
      <c r="G41" s="2"/>
      <c r="H41" s="7">
        <v>5677.48</v>
      </c>
      <c r="I41" s="2"/>
      <c r="J41" s="6">
        <f t="shared" si="22"/>
        <v>4.9031712035373771E-2</v>
      </c>
      <c r="K41" s="2"/>
      <c r="L41" s="7">
        <f t="shared" si="23"/>
        <v>-5677.48</v>
      </c>
      <c r="M41" s="2"/>
      <c r="N41" s="6">
        <f t="shared" si="24"/>
        <v>-1</v>
      </c>
      <c r="O41" s="11"/>
      <c r="P41" s="7"/>
      <c r="Q41" s="2"/>
      <c r="R41" s="6">
        <f t="shared" si="25"/>
        <v>0</v>
      </c>
      <c r="S41" s="2"/>
      <c r="T41" s="7">
        <v>27782.57</v>
      </c>
      <c r="U41" s="2"/>
      <c r="V41" s="6">
        <f t="shared" si="26"/>
        <v>7.753109468355561E-2</v>
      </c>
      <c r="W41" s="2"/>
      <c r="X41" s="7">
        <f t="shared" si="27"/>
        <v>-27782.57</v>
      </c>
      <c r="Y41" s="2"/>
      <c r="Z41" s="6">
        <f t="shared" si="28"/>
        <v>-1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7214.32</v>
      </c>
      <c r="I42" s="2"/>
      <c r="J42" s="6">
        <f t="shared" si="22"/>
        <v>6.230413154622081E-2</v>
      </c>
      <c r="K42" s="2"/>
      <c r="L42" s="7">
        <f t="shared" si="23"/>
        <v>-7214.32</v>
      </c>
      <c r="M42" s="2"/>
      <c r="N42" s="6">
        <f t="shared" si="24"/>
        <v>-1</v>
      </c>
      <c r="O42" s="11"/>
      <c r="P42" s="7">
        <v>2131.96</v>
      </c>
      <c r="Q42" s="2"/>
      <c r="R42" s="6">
        <f t="shared" si="25"/>
        <v>0.78367340937411545</v>
      </c>
      <c r="S42" s="2"/>
      <c r="T42" s="7">
        <v>31125.422000000002</v>
      </c>
      <c r="U42" s="2"/>
      <c r="V42" s="6">
        <f t="shared" si="26"/>
        <v>8.6859784395310613E-2</v>
      </c>
      <c r="W42" s="2"/>
      <c r="X42" s="7">
        <f t="shared" si="27"/>
        <v>-28993.462000000003</v>
      </c>
      <c r="Y42" s="2"/>
      <c r="Z42" s="6">
        <f t="shared" si="28"/>
        <v>-0.93150422185440573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756.6</v>
      </c>
      <c r="U44" s="2"/>
      <c r="V44" s="6">
        <f t="shared" si="26"/>
        <v>2.1113966863964772E-3</v>
      </c>
      <c r="W44" s="2"/>
      <c r="X44" s="7">
        <f t="shared" si="27"/>
        <v>-756.6</v>
      </c>
      <c r="Y44" s="2"/>
      <c r="Z44" s="6">
        <f t="shared" si="28"/>
        <v>-1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10391.424000000001</v>
      </c>
      <c r="I45" s="2"/>
      <c r="J45" s="6">
        <f t="shared" si="22"/>
        <v>8.9742158352908677E-2</v>
      </c>
      <c r="K45" s="2"/>
      <c r="L45" s="7">
        <f t="shared" si="23"/>
        <v>-10391.424000000001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40722.885999999999</v>
      </c>
      <c r="U45" s="2"/>
      <c r="V45" s="6">
        <f t="shared" si="26"/>
        <v>0.11364283182778415</v>
      </c>
      <c r="W45" s="2"/>
      <c r="X45" s="7">
        <f t="shared" si="27"/>
        <v>-40722.885999999999</v>
      </c>
      <c r="Y45" s="2"/>
      <c r="Z45" s="6">
        <f t="shared" si="28"/>
        <v>-1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9">IF(D$12=0,0,D48/D$12)</f>
        <v>0</v>
      </c>
      <c r="G48" s="1"/>
      <c r="H48" s="1">
        <f>SUM(OSRRefH22_2x_0)</f>
        <v>439</v>
      </c>
      <c r="I48" s="1"/>
      <c r="J48" s="5">
        <f t="shared" ref="J48:J56" si="30">IF(H$12=0,0,H48/H$12)</f>
        <v>3.7912809175072544E-3</v>
      </c>
      <c r="K48" s="1"/>
      <c r="L48" s="1">
        <f t="shared" ref="L48:L56" si="31">+D48-H48</f>
        <v>-439</v>
      </c>
      <c r="M48" s="1"/>
      <c r="N48" s="5">
        <f t="shared" ref="N48:N56" si="32">IF(H48=0,0,L48/H48)</f>
        <v>-1</v>
      </c>
      <c r="O48" s="14"/>
      <c r="P48" s="1">
        <f>SUM(OSRRefP22_2x_0)</f>
        <v>0</v>
      </c>
      <c r="Q48" s="1"/>
      <c r="R48" s="5">
        <f t="shared" ref="R48:R56" si="33">IF(P$12=0,0,P48/P$12)</f>
        <v>0</v>
      </c>
      <c r="S48" s="1"/>
      <c r="T48" s="1">
        <f>SUM(OSRRefT22_2x_0)</f>
        <v>2469</v>
      </c>
      <c r="U48" s="1"/>
      <c r="V48" s="5">
        <f t="shared" ref="V48:V56" si="34">IF(T$12=0,0,T48/T$12)</f>
        <v>6.8900851423643961E-3</v>
      </c>
      <c r="W48" s="1"/>
      <c r="X48" s="1">
        <f t="shared" ref="X48:X56" si="35">+P48-T48</f>
        <v>-2469</v>
      </c>
      <c r="Y48" s="1"/>
      <c r="Z48" s="5">
        <f t="shared" ref="Z48:Z56" si="36">IF(T48=0,0,X48/T48)</f>
        <v>-1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439</v>
      </c>
      <c r="I49" s="2"/>
      <c r="J49" s="6">
        <f t="shared" si="30"/>
        <v>3.7912809175072544E-3</v>
      </c>
      <c r="K49" s="2"/>
      <c r="L49" s="7">
        <f t="shared" si="31"/>
        <v>-439</v>
      </c>
      <c r="M49" s="2"/>
      <c r="N49" s="6">
        <f t="shared" si="32"/>
        <v>-1</v>
      </c>
      <c r="O49" s="11"/>
      <c r="P49" s="7"/>
      <c r="Q49" s="2"/>
      <c r="R49" s="6">
        <f t="shared" si="33"/>
        <v>0</v>
      </c>
      <c r="S49" s="2"/>
      <c r="T49" s="7">
        <v>2469</v>
      </c>
      <c r="U49" s="2"/>
      <c r="V49" s="6">
        <f t="shared" si="34"/>
        <v>6.8900851423643961E-3</v>
      </c>
      <c r="W49" s="2"/>
      <c r="X49" s="7">
        <f t="shared" si="35"/>
        <v>-2469</v>
      </c>
      <c r="Y49" s="2"/>
      <c r="Z49" s="6">
        <f t="shared" si="36"/>
        <v>-1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5</v>
      </c>
      <c r="I50" s="1"/>
      <c r="J50" s="5">
        <f t="shared" si="30"/>
        <v>4.3180876053613377E-5</v>
      </c>
      <c r="K50" s="1"/>
      <c r="L50" s="1">
        <f t="shared" si="31"/>
        <v>-5</v>
      </c>
      <c r="M50" s="1"/>
      <c r="N50" s="5">
        <f t="shared" si="32"/>
        <v>-1</v>
      </c>
      <c r="O50" s="14"/>
      <c r="P50" s="1">
        <f>SUM(OSRRefP22_3x_0)</f>
        <v>3.31</v>
      </c>
      <c r="Q50" s="1"/>
      <c r="R50" s="5">
        <f t="shared" si="33"/>
        <v>1.216701525839285E-3</v>
      </c>
      <c r="S50" s="1"/>
      <c r="T50" s="1">
        <f>SUM(OSRRefT22_3x_0)</f>
        <v>64</v>
      </c>
      <c r="U50" s="1"/>
      <c r="V50" s="5">
        <f t="shared" si="34"/>
        <v>1.7860082993573161E-4</v>
      </c>
      <c r="W50" s="1"/>
      <c r="X50" s="1">
        <f t="shared" si="35"/>
        <v>-60.69</v>
      </c>
      <c r="Y50" s="1"/>
      <c r="Z50" s="5">
        <f t="shared" si="36"/>
        <v>-0.94828124999999996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5</v>
      </c>
      <c r="I51" s="2"/>
      <c r="J51" s="6">
        <f t="shared" si="30"/>
        <v>4.3180876053613377E-5</v>
      </c>
      <c r="K51" s="2"/>
      <c r="L51" s="7">
        <f t="shared" si="31"/>
        <v>-5</v>
      </c>
      <c r="M51" s="2"/>
      <c r="N51" s="6">
        <f t="shared" si="32"/>
        <v>-1</v>
      </c>
      <c r="O51" s="11"/>
      <c r="P51" s="7">
        <v>3.31</v>
      </c>
      <c r="Q51" s="2"/>
      <c r="R51" s="6">
        <f t="shared" si="33"/>
        <v>1.216701525839285E-3</v>
      </c>
      <c r="S51" s="2"/>
      <c r="T51" s="7">
        <v>64</v>
      </c>
      <c r="U51" s="2"/>
      <c r="V51" s="6">
        <f t="shared" si="34"/>
        <v>1.7860082993573161E-4</v>
      </c>
      <c r="W51" s="2"/>
      <c r="X51" s="7">
        <f t="shared" si="35"/>
        <v>-60.69</v>
      </c>
      <c r="Y51" s="2"/>
      <c r="Z51" s="6">
        <f t="shared" si="36"/>
        <v>-0.94828124999999996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224.95</v>
      </c>
      <c r="E52" s="1"/>
      <c r="F52" s="5">
        <f t="shared" si="29"/>
        <v>1.678731343283582</v>
      </c>
      <c r="G52" s="1"/>
      <c r="H52" s="1">
        <f>SUM(OSRRefH22_4x_0)</f>
        <v>8385</v>
      </c>
      <c r="I52" s="1"/>
      <c r="J52" s="5">
        <f t="shared" si="30"/>
        <v>7.2414329141909636E-2</v>
      </c>
      <c r="K52" s="1"/>
      <c r="L52" s="1">
        <f t="shared" si="31"/>
        <v>-8160.05</v>
      </c>
      <c r="M52" s="1"/>
      <c r="N52" s="5">
        <f t="shared" si="32"/>
        <v>-0.97317233154442462</v>
      </c>
      <c r="O52" s="14"/>
      <c r="P52" s="1">
        <f>SUM(OSRRefP22_4x_0)</f>
        <v>1363.23</v>
      </c>
      <c r="Q52" s="1"/>
      <c r="R52" s="5">
        <f t="shared" si="33"/>
        <v>0.50110091270993606</v>
      </c>
      <c r="S52" s="1"/>
      <c r="T52" s="1">
        <f>SUM(OSRRefT22_4x_0)</f>
        <v>32826</v>
      </c>
      <c r="U52" s="1"/>
      <c r="V52" s="5">
        <f t="shared" si="34"/>
        <v>9.1605481929223839E-2</v>
      </c>
      <c r="W52" s="1"/>
      <c r="X52" s="1">
        <f t="shared" si="35"/>
        <v>-31462.77</v>
      </c>
      <c r="Y52" s="1"/>
      <c r="Z52" s="5">
        <f t="shared" si="36"/>
        <v>-0.95847102906232862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224.95</v>
      </c>
      <c r="E53" s="2"/>
      <c r="F53" s="6">
        <f t="shared" si="29"/>
        <v>1.678731343283582</v>
      </c>
      <c r="G53" s="2"/>
      <c r="H53" s="7">
        <v>8385</v>
      </c>
      <c r="I53" s="2"/>
      <c r="J53" s="6">
        <f t="shared" si="30"/>
        <v>7.2414329141909636E-2</v>
      </c>
      <c r="K53" s="2"/>
      <c r="L53" s="7">
        <f t="shared" si="31"/>
        <v>-8160.05</v>
      </c>
      <c r="M53" s="2"/>
      <c r="N53" s="6">
        <f t="shared" si="32"/>
        <v>-0.97317233154442462</v>
      </c>
      <c r="O53" s="11"/>
      <c r="P53" s="7">
        <v>1363.23</v>
      </c>
      <c r="Q53" s="2"/>
      <c r="R53" s="6">
        <f t="shared" si="33"/>
        <v>0.50110091270993606</v>
      </c>
      <c r="S53" s="2"/>
      <c r="T53" s="7">
        <v>32826</v>
      </c>
      <c r="U53" s="2"/>
      <c r="V53" s="6">
        <f t="shared" si="34"/>
        <v>9.1605481929223839E-2</v>
      </c>
      <c r="W53" s="2"/>
      <c r="X53" s="7">
        <f t="shared" si="35"/>
        <v>-31462.77</v>
      </c>
      <c r="Y53" s="2"/>
      <c r="Z53" s="6">
        <f t="shared" si="36"/>
        <v>-0.95847102906232862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9152.09</v>
      </c>
      <c r="E54" s="1"/>
      <c r="F54" s="5">
        <f t="shared" si="29"/>
        <v>68.299179104477616</v>
      </c>
      <c r="G54" s="1"/>
      <c r="H54" s="1">
        <f>SUM(OSRRefH22_5x_0)</f>
        <v>8563</v>
      </c>
      <c r="I54" s="1"/>
      <c r="J54" s="5">
        <f t="shared" si="30"/>
        <v>7.3951568329418266E-2</v>
      </c>
      <c r="K54" s="1"/>
      <c r="L54" s="1">
        <f t="shared" si="31"/>
        <v>589.09000000000015</v>
      </c>
      <c r="M54" s="1"/>
      <c r="N54" s="5">
        <f t="shared" si="32"/>
        <v>6.8794814901319654E-2</v>
      </c>
      <c r="O54" s="14"/>
      <c r="P54" s="1">
        <f>SUM(OSRRefP22_5x_0)</f>
        <v>73398</v>
      </c>
      <c r="Q54" s="1"/>
      <c r="R54" s="5">
        <f t="shared" si="33"/>
        <v>26.979896856057959</v>
      </c>
      <c r="S54" s="1"/>
      <c r="T54" s="1">
        <f>SUM(OSRRefT22_5x_0)</f>
        <v>68952</v>
      </c>
      <c r="U54" s="1"/>
      <c r="V54" s="5">
        <f t="shared" si="34"/>
        <v>0.19242006915200885</v>
      </c>
      <c r="W54" s="1"/>
      <c r="X54" s="1">
        <f t="shared" si="35"/>
        <v>4446</v>
      </c>
      <c r="Y54" s="1"/>
      <c r="Z54" s="5">
        <f t="shared" si="36"/>
        <v>6.4479638009049781E-2</v>
      </c>
    </row>
    <row r="55" spans="1:26" s="24" customFormat="1" hidden="1" outlineLevel="2" x14ac:dyDescent="0.25">
      <c r="A55" s="27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29"/>
        <v>37.914253731343287</v>
      </c>
      <c r="G55" s="2"/>
      <c r="H55" s="7"/>
      <c r="I55" s="2"/>
      <c r="J55" s="6">
        <f t="shared" si="30"/>
        <v>0</v>
      </c>
      <c r="K55" s="2"/>
      <c r="L55" s="7">
        <f t="shared" si="31"/>
        <v>5080.51</v>
      </c>
      <c r="M55" s="2"/>
      <c r="N55" s="6">
        <f t="shared" si="32"/>
        <v>0</v>
      </c>
      <c r="O55" s="11"/>
      <c r="P55" s="7">
        <v>40644.080000000002</v>
      </c>
      <c r="Q55" s="2"/>
      <c r="R55" s="6">
        <f t="shared" si="33"/>
        <v>14.940094910070686</v>
      </c>
      <c r="S55" s="2"/>
      <c r="T55" s="7"/>
      <c r="U55" s="2"/>
      <c r="V55" s="6">
        <f t="shared" si="34"/>
        <v>0</v>
      </c>
      <c r="W55" s="2"/>
      <c r="X55" s="7">
        <f t="shared" si="35"/>
        <v>40644.080000000002</v>
      </c>
      <c r="Y55" s="2"/>
      <c r="Z55" s="6">
        <f t="shared" si="36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4071.58</v>
      </c>
      <c r="E56" s="2"/>
      <c r="F56" s="6">
        <f t="shared" si="29"/>
        <v>30.384925373134326</v>
      </c>
      <c r="G56" s="2"/>
      <c r="H56" s="7">
        <v>8563</v>
      </c>
      <c r="I56" s="2"/>
      <c r="J56" s="6">
        <f t="shared" si="30"/>
        <v>7.3951568329418266E-2</v>
      </c>
      <c r="K56" s="2"/>
      <c r="L56" s="7">
        <f t="shared" si="31"/>
        <v>-4491.42</v>
      </c>
      <c r="M56" s="2"/>
      <c r="N56" s="6">
        <f t="shared" si="32"/>
        <v>-0.52451477285997894</v>
      </c>
      <c r="O56" s="11"/>
      <c r="P56" s="7">
        <v>32753.919999999998</v>
      </c>
      <c r="Q56" s="2"/>
      <c r="R56" s="6">
        <f t="shared" si="33"/>
        <v>12.039801945987273</v>
      </c>
      <c r="S56" s="2"/>
      <c r="T56" s="7">
        <v>68952</v>
      </c>
      <c r="U56" s="2"/>
      <c r="V56" s="6">
        <f t="shared" si="34"/>
        <v>0.19242006915200885</v>
      </c>
      <c r="W56" s="2"/>
      <c r="X56" s="7">
        <f t="shared" si="35"/>
        <v>-36198.080000000002</v>
      </c>
      <c r="Y56" s="2"/>
      <c r="Z56" s="6">
        <f t="shared" si="36"/>
        <v>-0.52497505511080178</v>
      </c>
    </row>
    <row r="57" spans="1:26" s="28" customFormat="1" outlineLevel="1" collapsed="1" x14ac:dyDescent="0.25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75" si="37">IF(D$12=0,0,D57/D$12)</f>
        <v>0</v>
      </c>
      <c r="G57" s="1"/>
      <c r="H57" s="1">
        <f>SUM(OSRRefH22_6x_0)</f>
        <v>0</v>
      </c>
      <c r="I57" s="1"/>
      <c r="J57" s="5">
        <f t="shared" ref="J57:J75" si="38">IF(H$12=0,0,H57/H$12)</f>
        <v>0</v>
      </c>
      <c r="K57" s="1"/>
      <c r="L57" s="1">
        <f t="shared" ref="L57:L75" si="39">+D57-H57</f>
        <v>0</v>
      </c>
      <c r="M57" s="1"/>
      <c r="N57" s="5">
        <f t="shared" ref="N57:N75" si="40">IF(H57=0,0,L57/H57)</f>
        <v>0</v>
      </c>
      <c r="O57" s="14"/>
      <c r="P57" s="1">
        <f>SUM(OSRRefP22_6x_0)</f>
        <v>0</v>
      </c>
      <c r="Q57" s="1"/>
      <c r="R57" s="5">
        <f t="shared" ref="R57:R75" si="41">IF(P$12=0,0,P57/P$12)</f>
        <v>0</v>
      </c>
      <c r="S57" s="1"/>
      <c r="T57" s="1">
        <f>SUM(OSRRefT22_6x_0)</f>
        <v>50</v>
      </c>
      <c r="U57" s="1"/>
      <c r="V57" s="5">
        <f t="shared" ref="V57:V75" si="42">IF(T$12=0,0,T57/T$12)</f>
        <v>1.3953189838729032E-4</v>
      </c>
      <c r="W57" s="1"/>
      <c r="X57" s="1">
        <f t="shared" ref="X57:X75" si="43">+P57-T57</f>
        <v>-50</v>
      </c>
      <c r="Y57" s="1"/>
      <c r="Z57" s="5">
        <f t="shared" ref="Z57:Z75" si="44">IF(T57=0,0,X57/T57)</f>
        <v>-1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/>
      <c r="Q58" s="2"/>
      <c r="R58" s="6">
        <f t="shared" si="41"/>
        <v>0</v>
      </c>
      <c r="S58" s="2"/>
      <c r="T58" s="7">
        <v>50</v>
      </c>
      <c r="U58" s="2"/>
      <c r="V58" s="6">
        <f t="shared" si="42"/>
        <v>1.3953189838729032E-4</v>
      </c>
      <c r="W58" s="2"/>
      <c r="X58" s="7">
        <f t="shared" si="43"/>
        <v>-50</v>
      </c>
      <c r="Y58" s="2"/>
      <c r="Z58" s="6">
        <f t="shared" si="44"/>
        <v>-1</v>
      </c>
    </row>
    <row r="59" spans="1:26" s="28" customFormat="1" outlineLevel="1" collapsed="1" x14ac:dyDescent="0.25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176.4</v>
      </c>
      <c r="E59" s="1"/>
      <c r="F59" s="5">
        <f t="shared" si="37"/>
        <v>1.3164179104477611</v>
      </c>
      <c r="G59" s="1"/>
      <c r="H59" s="1">
        <f>SUM(OSRRefH22_7x_0)</f>
        <v>146</v>
      </c>
      <c r="I59" s="1"/>
      <c r="J59" s="5">
        <f t="shared" si="38"/>
        <v>1.2608815807655105E-3</v>
      </c>
      <c r="K59" s="1"/>
      <c r="L59" s="1">
        <f t="shared" si="39"/>
        <v>30.400000000000006</v>
      </c>
      <c r="M59" s="1"/>
      <c r="N59" s="5">
        <f t="shared" si="40"/>
        <v>0.20821917808219181</v>
      </c>
      <c r="O59" s="14"/>
      <c r="P59" s="1">
        <f>SUM(OSRRefP22_7x_0)</f>
        <v>440.95</v>
      </c>
      <c r="Q59" s="1"/>
      <c r="R59" s="5">
        <f t="shared" si="41"/>
        <v>0.16208596308726064</v>
      </c>
      <c r="S59" s="1"/>
      <c r="T59" s="1">
        <f>SUM(OSRRefT22_7x_0)</f>
        <v>730</v>
      </c>
      <c r="U59" s="1"/>
      <c r="V59" s="5">
        <f t="shared" si="42"/>
        <v>2.0371657164544388E-3</v>
      </c>
      <c r="W59" s="1"/>
      <c r="X59" s="1">
        <f t="shared" si="43"/>
        <v>-289.05</v>
      </c>
      <c r="Y59" s="1"/>
      <c r="Z59" s="5">
        <f t="shared" si="44"/>
        <v>-0.39595890410958906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7">
        <v>176.4</v>
      </c>
      <c r="E60" s="2"/>
      <c r="F60" s="6">
        <f t="shared" si="37"/>
        <v>1.3164179104477611</v>
      </c>
      <c r="G60" s="2"/>
      <c r="H60" s="7">
        <v>146</v>
      </c>
      <c r="I60" s="2"/>
      <c r="J60" s="6">
        <f t="shared" si="38"/>
        <v>1.2608815807655105E-3</v>
      </c>
      <c r="K60" s="2"/>
      <c r="L60" s="7">
        <f t="shared" si="39"/>
        <v>30.400000000000006</v>
      </c>
      <c r="M60" s="2"/>
      <c r="N60" s="6">
        <f t="shared" si="40"/>
        <v>0.20821917808219181</v>
      </c>
      <c r="O60" s="11"/>
      <c r="P60" s="7">
        <v>440.95</v>
      </c>
      <c r="Q60" s="2"/>
      <c r="R60" s="6">
        <f t="shared" si="41"/>
        <v>0.16208596308726064</v>
      </c>
      <c r="S60" s="2"/>
      <c r="T60" s="7">
        <v>730</v>
      </c>
      <c r="U60" s="2"/>
      <c r="V60" s="6">
        <f t="shared" si="42"/>
        <v>2.0371657164544388E-3</v>
      </c>
      <c r="W60" s="2"/>
      <c r="X60" s="7">
        <f t="shared" si="43"/>
        <v>-289.05</v>
      </c>
      <c r="Y60" s="2"/>
      <c r="Z60" s="6">
        <f t="shared" si="44"/>
        <v>-0.39595890410958906</v>
      </c>
    </row>
    <row r="61" spans="1:26" s="28" customFormat="1" outlineLevel="1" collapsed="1" x14ac:dyDescent="0.25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SUM(OSRRefD22_8x_0)</f>
        <v>90.46</v>
      </c>
      <c r="E61" s="1"/>
      <c r="F61" s="5">
        <f t="shared" si="37"/>
        <v>0.67507462686567155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90.46</v>
      </c>
      <c r="M61" s="1"/>
      <c r="N61" s="5">
        <f t="shared" si="40"/>
        <v>0</v>
      </c>
      <c r="O61" s="14"/>
      <c r="P61" s="1">
        <f>SUM(OSRRefP22_8x_0)</f>
        <v>207.89</v>
      </c>
      <c r="Q61" s="1"/>
      <c r="R61" s="5">
        <f t="shared" si="41"/>
        <v>7.6416942660643181E-2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207.89</v>
      </c>
      <c r="Y61" s="1"/>
      <c r="Z61" s="5">
        <f t="shared" si="44"/>
        <v>0</v>
      </c>
    </row>
    <row r="62" spans="1:26" s="24" customFormat="1" hidden="1" outlineLevel="2" x14ac:dyDescent="0.25">
      <c r="A62" s="27"/>
      <c r="B62" s="11" t="str">
        <f>CONCATENATE("          ", "6305", " - ", "FREIGHT OUT")</f>
        <v xml:space="preserve">          6305 - FREIGHT OUT</v>
      </c>
      <c r="C62" s="11"/>
      <c r="D62" s="7">
        <v>90.46</v>
      </c>
      <c r="E62" s="2"/>
      <c r="F62" s="6">
        <f t="shared" si="37"/>
        <v>0.67507462686567155</v>
      </c>
      <c r="G62" s="2"/>
      <c r="H62" s="7"/>
      <c r="I62" s="2"/>
      <c r="J62" s="6">
        <f t="shared" si="38"/>
        <v>0</v>
      </c>
      <c r="K62" s="2"/>
      <c r="L62" s="7">
        <f t="shared" si="39"/>
        <v>90.46</v>
      </c>
      <c r="M62" s="2"/>
      <c r="N62" s="6">
        <f t="shared" si="40"/>
        <v>0</v>
      </c>
      <c r="O62" s="11"/>
      <c r="P62" s="7">
        <v>207.89</v>
      </c>
      <c r="Q62" s="2"/>
      <c r="R62" s="6">
        <f t="shared" si="41"/>
        <v>7.6416942660643181E-2</v>
      </c>
      <c r="S62" s="2"/>
      <c r="T62" s="7"/>
      <c r="U62" s="2"/>
      <c r="V62" s="6">
        <f t="shared" si="42"/>
        <v>0</v>
      </c>
      <c r="W62" s="2"/>
      <c r="X62" s="7">
        <f t="shared" si="43"/>
        <v>207.89</v>
      </c>
      <c r="Y62" s="2"/>
      <c r="Z62" s="6">
        <f t="shared" si="44"/>
        <v>0</v>
      </c>
    </row>
    <row r="63" spans="1:26" s="28" customFormat="1" outlineLevel="1" collapsed="1" x14ac:dyDescent="0.25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SUM(OSRRefP22_9x_0)</f>
        <v>2788.49</v>
      </c>
      <c r="Q63" s="1"/>
      <c r="R63" s="5">
        <f t="shared" si="41"/>
        <v>1.0250030325642259</v>
      </c>
      <c r="S63" s="1"/>
      <c r="T63" s="1">
        <f>SUM(OSRRefT22_9x_0)</f>
        <v>3150</v>
      </c>
      <c r="U63" s="1"/>
      <c r="V63" s="5">
        <f t="shared" si="42"/>
        <v>8.7905095983992904E-3</v>
      </c>
      <c r="W63" s="1"/>
      <c r="X63" s="1">
        <f t="shared" si="43"/>
        <v>-361.51000000000022</v>
      </c>
      <c r="Y63" s="1"/>
      <c r="Z63" s="5">
        <f t="shared" si="44"/>
        <v>-0.11476507936507943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2788.49</v>
      </c>
      <c r="Q64" s="2"/>
      <c r="R64" s="6">
        <f t="shared" si="41"/>
        <v>1.0250030325642259</v>
      </c>
      <c r="S64" s="2"/>
      <c r="T64" s="7">
        <v>3150</v>
      </c>
      <c r="U64" s="2"/>
      <c r="V64" s="6">
        <f t="shared" si="42"/>
        <v>8.7905095983992904E-3</v>
      </c>
      <c r="W64" s="2"/>
      <c r="X64" s="7">
        <f t="shared" si="43"/>
        <v>-361.51000000000022</v>
      </c>
      <c r="Y64" s="2"/>
      <c r="Z64" s="6">
        <f t="shared" si="44"/>
        <v>-0.11476507936507943</v>
      </c>
    </row>
    <row r="65" spans="1:26" s="28" customFormat="1" outlineLevel="1" collapsed="1" x14ac:dyDescent="0.25">
      <c r="A65" s="29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SUM(OSRRefD22_10x_0)</f>
        <v>243.54</v>
      </c>
      <c r="E65" s="1"/>
      <c r="F65" s="5">
        <f t="shared" si="37"/>
        <v>1.8174626865671641</v>
      </c>
      <c r="G65" s="1"/>
      <c r="H65" s="1">
        <f>SUM(OSRRefH22_10x_0)</f>
        <v>270</v>
      </c>
      <c r="I65" s="1"/>
      <c r="J65" s="5">
        <f t="shared" si="38"/>
        <v>2.3317673068951224E-3</v>
      </c>
      <c r="K65" s="1"/>
      <c r="L65" s="1">
        <f t="shared" si="39"/>
        <v>-26.460000000000008</v>
      </c>
      <c r="M65" s="1"/>
      <c r="N65" s="5">
        <f t="shared" si="40"/>
        <v>-9.8000000000000032E-2</v>
      </c>
      <c r="O65" s="14"/>
      <c r="P65" s="1">
        <f>SUM(OSRRefP22_10x_0)</f>
        <v>1948.32</v>
      </c>
      <c r="Q65" s="1"/>
      <c r="R65" s="5">
        <f t="shared" si="41"/>
        <v>0.71617036762030084</v>
      </c>
      <c r="S65" s="1"/>
      <c r="T65" s="1">
        <f>SUM(OSRRefT22_10x_0)</f>
        <v>2160</v>
      </c>
      <c r="U65" s="1"/>
      <c r="V65" s="5">
        <f t="shared" si="42"/>
        <v>6.027778010330942E-3</v>
      </c>
      <c r="W65" s="1"/>
      <c r="X65" s="1">
        <f t="shared" si="43"/>
        <v>-211.68000000000006</v>
      </c>
      <c r="Y65" s="1"/>
      <c r="Z65" s="5">
        <f t="shared" si="44"/>
        <v>-9.8000000000000032E-2</v>
      </c>
    </row>
    <row r="66" spans="1:26" s="24" customFormat="1" hidden="1" outlineLevel="2" x14ac:dyDescent="0.25">
      <c r="A66" s="27"/>
      <c r="B66" s="11" t="str">
        <f>CONCATENATE("          ", "6314", " - ", "LIABILITY INSURANCE")</f>
        <v xml:space="preserve">          6314 - LIABILITY INSURANCE</v>
      </c>
      <c r="C66" s="11"/>
      <c r="D66" s="7">
        <v>243.54</v>
      </c>
      <c r="E66" s="2"/>
      <c r="F66" s="6">
        <f t="shared" si="37"/>
        <v>1.8174626865671641</v>
      </c>
      <c r="G66" s="2"/>
      <c r="H66" s="7">
        <v>270</v>
      </c>
      <c r="I66" s="2"/>
      <c r="J66" s="6">
        <f t="shared" si="38"/>
        <v>2.3317673068951224E-3</v>
      </c>
      <c r="K66" s="2"/>
      <c r="L66" s="7">
        <f t="shared" si="39"/>
        <v>-26.460000000000008</v>
      </c>
      <c r="M66" s="2"/>
      <c r="N66" s="6">
        <f t="shared" si="40"/>
        <v>-9.8000000000000032E-2</v>
      </c>
      <c r="O66" s="11"/>
      <c r="P66" s="7">
        <v>1948.32</v>
      </c>
      <c r="Q66" s="2"/>
      <c r="R66" s="6">
        <f t="shared" si="41"/>
        <v>0.71617036762030084</v>
      </c>
      <c r="S66" s="2"/>
      <c r="T66" s="7">
        <v>2160</v>
      </c>
      <c r="U66" s="2"/>
      <c r="V66" s="6">
        <f t="shared" si="42"/>
        <v>6.027778010330942E-3</v>
      </c>
      <c r="W66" s="2"/>
      <c r="X66" s="7">
        <f t="shared" si="43"/>
        <v>-211.68000000000006</v>
      </c>
      <c r="Y66" s="2"/>
      <c r="Z66" s="6">
        <f t="shared" si="44"/>
        <v>-9.8000000000000032E-2</v>
      </c>
    </row>
    <row r="67" spans="1:26" s="28" customFormat="1" outlineLevel="1" collapsed="1" x14ac:dyDescent="0.25">
      <c r="A67" s="29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SUM(OSRRefD22_11x_0)</f>
        <v>4044</v>
      </c>
      <c r="E67" s="1"/>
      <c r="F67" s="5">
        <f t="shared" si="37"/>
        <v>30.17910447761194</v>
      </c>
      <c r="G67" s="1"/>
      <c r="H67" s="1">
        <f>SUM(OSRRefH22_11x_0)</f>
        <v>4044</v>
      </c>
      <c r="I67" s="1"/>
      <c r="J67" s="5">
        <f t="shared" si="38"/>
        <v>3.4924692552162497E-2</v>
      </c>
      <c r="K67" s="1"/>
      <c r="L67" s="1">
        <f t="shared" si="39"/>
        <v>0</v>
      </c>
      <c r="M67" s="1"/>
      <c r="N67" s="5">
        <f t="shared" si="40"/>
        <v>0</v>
      </c>
      <c r="O67" s="14"/>
      <c r="P67" s="1">
        <f>SUM(OSRRefP22_11x_0)</f>
        <v>32089.85</v>
      </c>
      <c r="Q67" s="1"/>
      <c r="R67" s="5">
        <f t="shared" si="41"/>
        <v>11.795700742886337</v>
      </c>
      <c r="S67" s="1"/>
      <c r="T67" s="1">
        <f>SUM(OSRRefT22_11x_0)</f>
        <v>32352</v>
      </c>
      <c r="U67" s="1"/>
      <c r="V67" s="5">
        <f t="shared" si="42"/>
        <v>9.0282719532512323E-2</v>
      </c>
      <c r="W67" s="1"/>
      <c r="X67" s="1">
        <f t="shared" si="43"/>
        <v>-262.15000000000146</v>
      </c>
      <c r="Y67" s="1"/>
      <c r="Z67" s="5">
        <f t="shared" si="44"/>
        <v>-8.1030539070227944E-3</v>
      </c>
    </row>
    <row r="68" spans="1:26" s="24" customFormat="1" hidden="1" outlineLevel="2" x14ac:dyDescent="0.25">
      <c r="A68" s="27"/>
      <c r="B68" s="11" t="str">
        <f>CONCATENATE("          ", "6401", " - ", "INTEREST EXPENSE")</f>
        <v xml:space="preserve">          6401 - INTEREST EXPENSE</v>
      </c>
      <c r="C68" s="11"/>
      <c r="D68" s="7">
        <v>4044</v>
      </c>
      <c r="E68" s="2"/>
      <c r="F68" s="6">
        <f t="shared" si="37"/>
        <v>30.17910447761194</v>
      </c>
      <c r="G68" s="2"/>
      <c r="H68" s="7">
        <v>4044</v>
      </c>
      <c r="I68" s="2"/>
      <c r="J68" s="6">
        <f t="shared" si="38"/>
        <v>3.4924692552162497E-2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>
        <v>32089.85</v>
      </c>
      <c r="Q68" s="2"/>
      <c r="R68" s="6">
        <f t="shared" si="41"/>
        <v>11.795700742886337</v>
      </c>
      <c r="S68" s="2"/>
      <c r="T68" s="7">
        <v>32352</v>
      </c>
      <c r="U68" s="2"/>
      <c r="V68" s="6">
        <f t="shared" si="42"/>
        <v>9.0282719532512323E-2</v>
      </c>
      <c r="W68" s="2"/>
      <c r="X68" s="7">
        <f t="shared" si="43"/>
        <v>-262.15000000000146</v>
      </c>
      <c r="Y68" s="2"/>
      <c r="Z68" s="6">
        <f t="shared" si="44"/>
        <v>-8.1030539070227944E-3</v>
      </c>
    </row>
    <row r="69" spans="1:26" s="28" customFormat="1" outlineLevel="1" collapsed="1" x14ac:dyDescent="0.25">
      <c r="A69" s="29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SUM(OSRRefD22_12x_0)</f>
        <v>0</v>
      </c>
      <c r="E69" s="1"/>
      <c r="F69" s="5">
        <f t="shared" si="37"/>
        <v>0</v>
      </c>
      <c r="G69" s="1"/>
      <c r="H69" s="1">
        <f>SUM(OSRRefH22_12x_0)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SUM(OSRRefP22_12x_0)</f>
        <v>0</v>
      </c>
      <c r="Q69" s="1"/>
      <c r="R69" s="5">
        <f t="shared" si="41"/>
        <v>0</v>
      </c>
      <c r="S69" s="1"/>
      <c r="T69" s="1">
        <f>SUM(OSRRefT22_12x_0)</f>
        <v>0</v>
      </c>
      <c r="U69" s="1"/>
      <c r="V69" s="5">
        <f t="shared" si="42"/>
        <v>0</v>
      </c>
      <c r="W69" s="1"/>
      <c r="X69" s="1">
        <f t="shared" si="43"/>
        <v>0</v>
      </c>
      <c r="Y69" s="1"/>
      <c r="Z69" s="5">
        <f t="shared" si="44"/>
        <v>0</v>
      </c>
    </row>
    <row r="70" spans="1:26" s="24" customFormat="1" hidden="1" outlineLevel="2" x14ac:dyDescent="0.25">
      <c r="A70" s="27"/>
      <c r="B70" s="11" t="str">
        <f>CONCATENATE("          ", "6273", " - ", "RENT")</f>
        <v xml:space="preserve">          6273 - RENT</v>
      </c>
      <c r="C70" s="11"/>
      <c r="D70" s="7"/>
      <c r="E70" s="2"/>
      <c r="F70" s="6">
        <f t="shared" si="37"/>
        <v>0</v>
      </c>
      <c r="G70" s="2"/>
      <c r="H70" s="7">
        <v>0</v>
      </c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/>
      <c r="Q70" s="2"/>
      <c r="R70" s="6">
        <f t="shared" si="41"/>
        <v>0</v>
      </c>
      <c r="S70" s="2"/>
      <c r="T70" s="7">
        <v>0</v>
      </c>
      <c r="U70" s="2"/>
      <c r="V70" s="6">
        <f t="shared" si="42"/>
        <v>0</v>
      </c>
      <c r="W70" s="2"/>
      <c r="X70" s="7">
        <f t="shared" si="43"/>
        <v>0</v>
      </c>
      <c r="Y70" s="2"/>
      <c r="Z70" s="6">
        <f t="shared" si="44"/>
        <v>0</v>
      </c>
    </row>
    <row r="71" spans="1:26" s="28" customFormat="1" outlineLevel="1" collapsed="1" x14ac:dyDescent="0.25">
      <c r="A71" s="29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108</v>
      </c>
      <c r="E71" s="1"/>
      <c r="F71" s="5">
        <f t="shared" si="37"/>
        <v>0.80597014925373134</v>
      </c>
      <c r="G71" s="1"/>
      <c r="H71" s="1">
        <f>SUM(OSRRefH22_13x_0)</f>
        <v>285</v>
      </c>
      <c r="I71" s="1"/>
      <c r="J71" s="5">
        <f t="shared" si="38"/>
        <v>2.4613099350559624E-3</v>
      </c>
      <c r="K71" s="1"/>
      <c r="L71" s="1">
        <f t="shared" si="39"/>
        <v>-177</v>
      </c>
      <c r="M71" s="1"/>
      <c r="N71" s="5">
        <f t="shared" si="40"/>
        <v>-0.62105263157894741</v>
      </c>
      <c r="O71" s="14"/>
      <c r="P71" s="1">
        <f>SUM(OSRRefP22_13x_0)</f>
        <v>2399.85</v>
      </c>
      <c r="Q71" s="1"/>
      <c r="R71" s="5">
        <f t="shared" si="41"/>
        <v>0.88214536458773651</v>
      </c>
      <c r="S71" s="1"/>
      <c r="T71" s="1">
        <f>SUM(OSRRefT22_13x_0)</f>
        <v>3072</v>
      </c>
      <c r="U71" s="1"/>
      <c r="V71" s="5">
        <f t="shared" si="42"/>
        <v>8.5728398369151176E-3</v>
      </c>
      <c r="W71" s="1"/>
      <c r="X71" s="1">
        <f t="shared" si="43"/>
        <v>-672.15000000000009</v>
      </c>
      <c r="Y71" s="1"/>
      <c r="Z71" s="5">
        <f t="shared" si="44"/>
        <v>-0.21879882812500004</v>
      </c>
    </row>
    <row r="72" spans="1:26" s="24" customFormat="1" hidden="1" outlineLevel="2" x14ac:dyDescent="0.25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43</v>
      </c>
      <c r="U72" s="2"/>
      <c r="V72" s="6">
        <f t="shared" si="42"/>
        <v>1.1999743261306967E-4</v>
      </c>
      <c r="W72" s="2"/>
      <c r="X72" s="7">
        <f t="shared" si="43"/>
        <v>-43</v>
      </c>
      <c r="Y72" s="2"/>
      <c r="Z72" s="6">
        <f t="shared" si="44"/>
        <v>-1</v>
      </c>
    </row>
    <row r="73" spans="1:26" s="24" customFormat="1" hidden="1" outlineLevel="2" x14ac:dyDescent="0.25">
      <c r="A73" s="27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37"/>
        <v>0</v>
      </c>
      <c r="G73" s="2"/>
      <c r="H73" s="7"/>
      <c r="I73" s="2"/>
      <c r="J73" s="6">
        <f t="shared" si="38"/>
        <v>0</v>
      </c>
      <c r="K73" s="2"/>
      <c r="L73" s="7">
        <f t="shared" si="39"/>
        <v>0</v>
      </c>
      <c r="M73" s="2"/>
      <c r="N73" s="6">
        <f t="shared" si="40"/>
        <v>0</v>
      </c>
      <c r="O73" s="11"/>
      <c r="P73" s="7"/>
      <c r="Q73" s="2"/>
      <c r="R73" s="6">
        <f t="shared" si="41"/>
        <v>0</v>
      </c>
      <c r="S73" s="2"/>
      <c r="T73" s="7">
        <v>437</v>
      </c>
      <c r="U73" s="2"/>
      <c r="V73" s="6">
        <f t="shared" si="42"/>
        <v>1.2195087919049173E-3</v>
      </c>
      <c r="W73" s="2"/>
      <c r="X73" s="7">
        <f t="shared" si="43"/>
        <v>-437</v>
      </c>
      <c r="Y73" s="2"/>
      <c r="Z73" s="6">
        <f t="shared" si="44"/>
        <v>-1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>
        <v>956.6</v>
      </c>
      <c r="Q74" s="2"/>
      <c r="R74" s="6">
        <f t="shared" si="41"/>
        <v>0.35163041680297885</v>
      </c>
      <c r="S74" s="2"/>
      <c r="T74" s="7">
        <v>231</v>
      </c>
      <c r="U74" s="2"/>
      <c r="V74" s="6">
        <f t="shared" si="42"/>
        <v>6.4463737054928124E-4</v>
      </c>
      <c r="W74" s="2"/>
      <c r="X74" s="7">
        <f t="shared" si="43"/>
        <v>725.6</v>
      </c>
      <c r="Y74" s="2"/>
      <c r="Z74" s="6">
        <f t="shared" si="44"/>
        <v>3.1411255411255414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108</v>
      </c>
      <c r="E75" s="2"/>
      <c r="F75" s="6">
        <f t="shared" si="37"/>
        <v>0.80597014925373134</v>
      </c>
      <c r="G75" s="2"/>
      <c r="H75" s="7">
        <v>285</v>
      </c>
      <c r="I75" s="2"/>
      <c r="J75" s="6">
        <f t="shared" si="38"/>
        <v>2.4613099350559624E-3</v>
      </c>
      <c r="K75" s="2"/>
      <c r="L75" s="7">
        <f t="shared" si="39"/>
        <v>-177</v>
      </c>
      <c r="M75" s="2"/>
      <c r="N75" s="6">
        <f t="shared" si="40"/>
        <v>-0.62105263157894741</v>
      </c>
      <c r="O75" s="11"/>
      <c r="P75" s="7">
        <v>1443.25</v>
      </c>
      <c r="Q75" s="2"/>
      <c r="R75" s="6">
        <f t="shared" si="41"/>
        <v>0.53051494778475772</v>
      </c>
      <c r="S75" s="2"/>
      <c r="T75" s="7">
        <v>2361</v>
      </c>
      <c r="U75" s="2"/>
      <c r="V75" s="6">
        <f t="shared" si="42"/>
        <v>6.5886962418478488E-3</v>
      </c>
      <c r="W75" s="2"/>
      <c r="X75" s="7">
        <f t="shared" si="43"/>
        <v>-917.75</v>
      </c>
      <c r="Y75" s="2"/>
      <c r="Z75" s="6">
        <f t="shared" si="44"/>
        <v>-0.38871240999576451</v>
      </c>
    </row>
    <row r="76" spans="1:26" s="28" customFormat="1" outlineLevel="1" collapsed="1" x14ac:dyDescent="0.25">
      <c r="A76" s="29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SUM(OSRRefD22_14x_0)</f>
        <v>0</v>
      </c>
      <c r="E76" s="1"/>
      <c r="F76" s="5">
        <f t="shared" ref="F76:F78" si="45">IF(D$12=0,0,D76/D$12)</f>
        <v>0</v>
      </c>
      <c r="G76" s="1"/>
      <c r="H76" s="1">
        <f>SUM(OSRRefH22_14x_0)</f>
        <v>2137</v>
      </c>
      <c r="I76" s="1"/>
      <c r="J76" s="5">
        <f t="shared" ref="J76:J78" si="46">IF(H$12=0,0,H76/H$12)</f>
        <v>1.8455506425314357E-2</v>
      </c>
      <c r="K76" s="1"/>
      <c r="L76" s="1">
        <f t="shared" ref="L76:L78" si="47">+D76-H76</f>
        <v>-2137</v>
      </c>
      <c r="M76" s="1"/>
      <c r="N76" s="5">
        <f t="shared" ref="N76:N78" si="48">IF(H76=0,0,L76/H76)</f>
        <v>-1</v>
      </c>
      <c r="O76" s="14"/>
      <c r="P76" s="1">
        <f>SUM(OSRRefP22_14x_0)</f>
        <v>185.7</v>
      </c>
      <c r="Q76" s="1"/>
      <c r="R76" s="5">
        <f t="shared" ref="R76:R78" si="49">IF(P$12=0,0,P76/P$12)</f>
        <v>6.8260263851466829E-2</v>
      </c>
      <c r="S76" s="1"/>
      <c r="T76" s="1">
        <f>SUM(OSRRefT22_14x_0)</f>
        <v>6223</v>
      </c>
      <c r="U76" s="1"/>
      <c r="V76" s="5">
        <f t="shared" ref="V76:V78" si="50">IF(T$12=0,0,T76/T$12)</f>
        <v>1.7366140073282153E-2</v>
      </c>
      <c r="W76" s="1"/>
      <c r="X76" s="1">
        <f t="shared" ref="X76:X78" si="51">+P76-T76</f>
        <v>-6037.3</v>
      </c>
      <c r="Y76" s="1"/>
      <c r="Z76" s="5">
        <f t="shared" ref="Z76:Z78" si="52">IF(T76=0,0,X76/T76)</f>
        <v>-0.9701590872569501</v>
      </c>
    </row>
    <row r="77" spans="1:26" s="24" customFormat="1" hidden="1" outlineLevel="2" x14ac:dyDescent="0.25">
      <c r="A77" s="27"/>
      <c r="B77" s="11" t="str">
        <f>CONCATENATE("          ", "6254", " - ", "ROYALTY &amp; COMMISSIONS")</f>
        <v xml:space="preserve">          6254 - ROYALTY &amp; COMMISSIONS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185.7</v>
      </c>
      <c r="Q77" s="2"/>
      <c r="R77" s="6">
        <f t="shared" si="49"/>
        <v>6.8260263851466829E-2</v>
      </c>
      <c r="S77" s="2"/>
      <c r="T77" s="7"/>
      <c r="U77" s="2"/>
      <c r="V77" s="6">
        <f t="shared" si="50"/>
        <v>0</v>
      </c>
      <c r="W77" s="2"/>
      <c r="X77" s="7">
        <f t="shared" si="51"/>
        <v>185.7</v>
      </c>
      <c r="Y77" s="2"/>
      <c r="Z77" s="6">
        <f t="shared" si="52"/>
        <v>0</v>
      </c>
    </row>
    <row r="78" spans="1:26" s="24" customFormat="1" hidden="1" outlineLevel="2" x14ac:dyDescent="0.25">
      <c r="A78" s="27"/>
      <c r="B78" s="11" t="str">
        <f>CONCATENATE("          ", "6259", " - ", "ROYALTY &amp; COMMISSIONS")</f>
        <v xml:space="preserve">          6259 - ROYALTY &amp; COMMISSIONS</v>
      </c>
      <c r="C78" s="11"/>
      <c r="D78" s="7"/>
      <c r="E78" s="2"/>
      <c r="F78" s="6">
        <f t="shared" si="45"/>
        <v>0</v>
      </c>
      <c r="G78" s="2"/>
      <c r="H78" s="7">
        <v>2137</v>
      </c>
      <c r="I78" s="2"/>
      <c r="J78" s="6">
        <f t="shared" si="46"/>
        <v>1.8455506425314357E-2</v>
      </c>
      <c r="K78" s="2"/>
      <c r="L78" s="7">
        <f t="shared" si="47"/>
        <v>-2137</v>
      </c>
      <c r="M78" s="2"/>
      <c r="N78" s="6">
        <f t="shared" si="48"/>
        <v>-1</v>
      </c>
      <c r="O78" s="11"/>
      <c r="P78" s="7"/>
      <c r="Q78" s="2"/>
      <c r="R78" s="6">
        <f t="shared" si="49"/>
        <v>0</v>
      </c>
      <c r="S78" s="2"/>
      <c r="T78" s="7">
        <v>6223</v>
      </c>
      <c r="U78" s="2"/>
      <c r="V78" s="6">
        <f t="shared" si="50"/>
        <v>1.7366140073282153E-2</v>
      </c>
      <c r="W78" s="2"/>
      <c r="X78" s="7">
        <f t="shared" si="51"/>
        <v>-6223</v>
      </c>
      <c r="Y78" s="2"/>
      <c r="Z78" s="6">
        <f t="shared" si="52"/>
        <v>-1</v>
      </c>
    </row>
    <row r="79" spans="1:26" s="28" customFormat="1" outlineLevel="1" collapsed="1" x14ac:dyDescent="0.25">
      <c r="A79" s="29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430.93</v>
      </c>
      <c r="E79" s="1"/>
      <c r="F79" s="5">
        <f t="shared" ref="F79:F83" si="53">IF(D$12=0,0,D79/D$12)</f>
        <v>3.2158955223880596</v>
      </c>
      <c r="G79" s="1"/>
      <c r="H79" s="1">
        <f>SUM(OSRRefH22_15x_0)</f>
        <v>1158</v>
      </c>
      <c r="I79" s="1"/>
      <c r="J79" s="5">
        <f t="shared" ref="J79:J83" si="54">IF(H$12=0,0,H79/H$12)</f>
        <v>1.0000690894016858E-2</v>
      </c>
      <c r="K79" s="1"/>
      <c r="L79" s="1">
        <f t="shared" ref="L79:L83" si="55">+D79-H79</f>
        <v>-727.06999999999994</v>
      </c>
      <c r="M79" s="1"/>
      <c r="N79" s="5">
        <f t="shared" ref="N79:N83" si="56">IF(H79=0,0,L79/H79)</f>
        <v>-0.62786701208980999</v>
      </c>
      <c r="O79" s="14"/>
      <c r="P79" s="1">
        <f>SUM(OSRRefP22_15x_0)</f>
        <v>1845.15</v>
      </c>
      <c r="Q79" s="1"/>
      <c r="R79" s="5">
        <f t="shared" ref="R79:R83" si="57">IF(P$12=0,0,P79/P$12)</f>
        <v>0.67824677353545526</v>
      </c>
      <c r="S79" s="1"/>
      <c r="T79" s="1">
        <f>SUM(OSRRefT22_15x_0)</f>
        <v>7865</v>
      </c>
      <c r="U79" s="1"/>
      <c r="V79" s="5">
        <f t="shared" ref="V79:V83" si="58">IF(T$12=0,0,T79/T$12)</f>
        <v>2.1948367616320769E-2</v>
      </c>
      <c r="W79" s="1"/>
      <c r="X79" s="1">
        <f t="shared" ref="X79:X83" si="59">+P79-T79</f>
        <v>-6019.85</v>
      </c>
      <c r="Y79" s="1"/>
      <c r="Z79" s="5">
        <f t="shared" ref="Z79:Z83" si="60">IF(T79=0,0,X79/T79)</f>
        <v>-0.76539732994278453</v>
      </c>
    </row>
    <row r="80" spans="1:26" s="24" customFormat="1" hidden="1" outlineLevel="2" x14ac:dyDescent="0.25">
      <c r="A80" s="27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141.93</v>
      </c>
      <c r="E80" s="2"/>
      <c r="F80" s="6">
        <f t="shared" si="53"/>
        <v>1.059179104477612</v>
      </c>
      <c r="G80" s="2"/>
      <c r="H80" s="7">
        <v>315</v>
      </c>
      <c r="I80" s="2"/>
      <c r="J80" s="6">
        <f t="shared" si="54"/>
        <v>2.7203951913776425E-3</v>
      </c>
      <c r="K80" s="2"/>
      <c r="L80" s="7">
        <f t="shared" si="55"/>
        <v>-173.07</v>
      </c>
      <c r="M80" s="2"/>
      <c r="N80" s="6">
        <f t="shared" si="56"/>
        <v>-0.54942857142857138</v>
      </c>
      <c r="O80" s="11"/>
      <c r="P80" s="7">
        <v>1493.75</v>
      </c>
      <c r="Q80" s="2"/>
      <c r="R80" s="6">
        <f t="shared" si="57"/>
        <v>0.54907791668351424</v>
      </c>
      <c r="S80" s="2"/>
      <c r="T80" s="7">
        <v>1416</v>
      </c>
      <c r="U80" s="2"/>
      <c r="V80" s="6">
        <f t="shared" si="58"/>
        <v>3.9515433623280617E-3</v>
      </c>
      <c r="W80" s="2"/>
      <c r="X80" s="7">
        <f t="shared" si="59"/>
        <v>77.75</v>
      </c>
      <c r="Y80" s="2"/>
      <c r="Z80" s="6">
        <f t="shared" si="60"/>
        <v>5.4908192090395477E-2</v>
      </c>
    </row>
    <row r="81" spans="1:26" s="24" customFormat="1" hidden="1" outlineLevel="2" x14ac:dyDescent="0.25">
      <c r="A81" s="27"/>
      <c r="B81" s="11" t="str">
        <f>CONCATENATE("          ", "6284", " - ", "TRASH REMOVAL EXPENSE")</f>
        <v xml:space="preserve">          6284 - TRASH REMOVAL EXPENSE</v>
      </c>
      <c r="C81" s="11"/>
      <c r="D81" s="7">
        <v>289</v>
      </c>
      <c r="E81" s="2"/>
      <c r="F81" s="6">
        <f t="shared" si="53"/>
        <v>2.1567164179104479</v>
      </c>
      <c r="G81" s="2"/>
      <c r="H81" s="7">
        <v>289</v>
      </c>
      <c r="I81" s="2"/>
      <c r="J81" s="6">
        <f t="shared" si="54"/>
        <v>2.4958546358988531E-3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1156</v>
      </c>
      <c r="Q81" s="2"/>
      <c r="R81" s="6">
        <f t="shared" si="57"/>
        <v>0.42492657518737564</v>
      </c>
      <c r="S81" s="2"/>
      <c r="T81" s="7">
        <v>2311</v>
      </c>
      <c r="U81" s="2"/>
      <c r="V81" s="6">
        <f t="shared" si="58"/>
        <v>6.4491643434605589E-3</v>
      </c>
      <c r="W81" s="2"/>
      <c r="X81" s="7">
        <f t="shared" si="59"/>
        <v>-1155</v>
      </c>
      <c r="Y81" s="2"/>
      <c r="Z81" s="6">
        <f t="shared" si="60"/>
        <v>-0.49978364344439635</v>
      </c>
    </row>
    <row r="82" spans="1:26" s="24" customFormat="1" hidden="1" outlineLevel="2" x14ac:dyDescent="0.25">
      <c r="A82" s="27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53"/>
        <v>0</v>
      </c>
      <c r="G82" s="2"/>
      <c r="H82" s="7">
        <v>450</v>
      </c>
      <c r="I82" s="2"/>
      <c r="J82" s="6">
        <f t="shared" si="54"/>
        <v>3.8862788448252037E-3</v>
      </c>
      <c r="K82" s="2"/>
      <c r="L82" s="7">
        <f t="shared" si="55"/>
        <v>-450</v>
      </c>
      <c r="M82" s="2"/>
      <c r="N82" s="6">
        <f t="shared" si="56"/>
        <v>-1</v>
      </c>
      <c r="O82" s="11"/>
      <c r="P82" s="7">
        <v>-804.6</v>
      </c>
      <c r="Q82" s="2"/>
      <c r="R82" s="6">
        <f t="shared" si="57"/>
        <v>-0.29575771833543468</v>
      </c>
      <c r="S82" s="2"/>
      <c r="T82" s="7">
        <v>3313</v>
      </c>
      <c r="U82" s="2"/>
      <c r="V82" s="6">
        <f t="shared" si="58"/>
        <v>9.2453835871418571E-3</v>
      </c>
      <c r="W82" s="2"/>
      <c r="X82" s="7">
        <f t="shared" si="59"/>
        <v>-4117.6000000000004</v>
      </c>
      <c r="Y82" s="2"/>
      <c r="Z82" s="6">
        <f t="shared" si="60"/>
        <v>-1.2428614548747361</v>
      </c>
    </row>
    <row r="83" spans="1:26" s="24" customFormat="1" hidden="1" outlineLevel="2" x14ac:dyDescent="0.25">
      <c r="A83" s="27"/>
      <c r="B83" s="11" t="str">
        <f>CONCATENATE("          ", "6286", " - ", "LAUNDRY EXPENSE")</f>
        <v xml:space="preserve">          6286 - LAUNDRY EXPENSE</v>
      </c>
      <c r="C83" s="11"/>
      <c r="D83" s="7"/>
      <c r="E83" s="2"/>
      <c r="F83" s="6">
        <f t="shared" si="53"/>
        <v>0</v>
      </c>
      <c r="G83" s="2"/>
      <c r="H83" s="7">
        <v>104</v>
      </c>
      <c r="I83" s="2"/>
      <c r="J83" s="6">
        <f t="shared" si="54"/>
        <v>8.9816222191515822E-4</v>
      </c>
      <c r="K83" s="2"/>
      <c r="L83" s="7">
        <f t="shared" si="55"/>
        <v>-104</v>
      </c>
      <c r="M83" s="2"/>
      <c r="N83" s="6">
        <f t="shared" si="56"/>
        <v>-1</v>
      </c>
      <c r="O83" s="11"/>
      <c r="P83" s="7"/>
      <c r="Q83" s="2"/>
      <c r="R83" s="6">
        <f t="shared" si="57"/>
        <v>0</v>
      </c>
      <c r="S83" s="2"/>
      <c r="T83" s="7">
        <v>825</v>
      </c>
      <c r="U83" s="2"/>
      <c r="V83" s="6">
        <f t="shared" si="58"/>
        <v>2.30227632339029E-3</v>
      </c>
      <c r="W83" s="2"/>
      <c r="X83" s="7">
        <f t="shared" si="59"/>
        <v>-825</v>
      </c>
      <c r="Y83" s="2"/>
      <c r="Z83" s="6">
        <f t="shared" si="60"/>
        <v>-1</v>
      </c>
    </row>
    <row r="84" spans="1:26" s="28" customFormat="1" outlineLevel="1" collapsed="1" x14ac:dyDescent="0.25">
      <c r="A84" s="29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0</v>
      </c>
      <c r="E84" s="1"/>
      <c r="F84" s="5">
        <f t="shared" ref="F84:F93" si="61">IF(D$12=0,0,D84/D$12)</f>
        <v>0</v>
      </c>
      <c r="G84" s="1"/>
      <c r="H84" s="1">
        <f>SUM(OSRRefH22_16x_0)</f>
        <v>176</v>
      </c>
      <c r="I84" s="1"/>
      <c r="J84" s="5">
        <f t="shared" ref="J84:J93" si="62">IF(H$12=0,0,H84/H$12)</f>
        <v>1.5199668370871908E-3</v>
      </c>
      <c r="K84" s="1"/>
      <c r="L84" s="1">
        <f t="shared" ref="L84:L93" si="63">+D84-H84</f>
        <v>-176</v>
      </c>
      <c r="M84" s="1"/>
      <c r="N84" s="5">
        <f t="shared" ref="N84:N93" si="64">IF(H84=0,0,L84/H84)</f>
        <v>-1</v>
      </c>
      <c r="O84" s="14"/>
      <c r="P84" s="1">
        <f>SUM(OSRRefP22_16x_0)</f>
        <v>0</v>
      </c>
      <c r="Q84" s="1"/>
      <c r="R84" s="5">
        <f t="shared" ref="R84:R93" si="65">IF(P$12=0,0,P84/P$12)</f>
        <v>0</v>
      </c>
      <c r="S84" s="1"/>
      <c r="T84" s="1">
        <f>SUM(OSRRefT22_16x_0)</f>
        <v>1408</v>
      </c>
      <c r="U84" s="1"/>
      <c r="V84" s="5">
        <f t="shared" ref="V84:V93" si="66">IF(T$12=0,0,T84/T$12)</f>
        <v>3.9292182585860952E-3</v>
      </c>
      <c r="W84" s="1"/>
      <c r="X84" s="1">
        <f t="shared" ref="X84:X93" si="67">+P84-T84</f>
        <v>-1408</v>
      </c>
      <c r="Y84" s="1"/>
      <c r="Z84" s="5">
        <f t="shared" ref="Z84:Z93" si="68">IF(T84=0,0,X84/T84)</f>
        <v>-1</v>
      </c>
    </row>
    <row r="85" spans="1:26" s="24" customFormat="1" hidden="1" outlineLevel="2" x14ac:dyDescent="0.25">
      <c r="A85" s="27"/>
      <c r="B85" s="11" t="str">
        <f>CONCATENATE("          ", "6275", " - ", "SUBSCRIPTIONS")</f>
        <v xml:space="preserve">          6275 - SUBSCRIPTIONS</v>
      </c>
      <c r="C85" s="11"/>
      <c r="D85" s="7"/>
      <c r="E85" s="2"/>
      <c r="F85" s="6">
        <f t="shared" si="61"/>
        <v>0</v>
      </c>
      <c r="G85" s="2"/>
      <c r="H85" s="7">
        <v>176</v>
      </c>
      <c r="I85" s="2"/>
      <c r="J85" s="6">
        <f t="shared" si="62"/>
        <v>1.5199668370871908E-3</v>
      </c>
      <c r="K85" s="2"/>
      <c r="L85" s="7">
        <f t="shared" si="63"/>
        <v>-176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1408</v>
      </c>
      <c r="U85" s="2"/>
      <c r="V85" s="6">
        <f t="shared" si="66"/>
        <v>3.9292182585860952E-3</v>
      </c>
      <c r="W85" s="2"/>
      <c r="X85" s="7">
        <f t="shared" si="67"/>
        <v>-1408</v>
      </c>
      <c r="Y85" s="2"/>
      <c r="Z85" s="6">
        <f t="shared" si="68"/>
        <v>-1</v>
      </c>
    </row>
    <row r="86" spans="1:26" s="28" customFormat="1" outlineLevel="1" collapsed="1" x14ac:dyDescent="0.25">
      <c r="A86" s="29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0</v>
      </c>
      <c r="E86" s="1"/>
      <c r="F86" s="5">
        <f t="shared" si="61"/>
        <v>0</v>
      </c>
      <c r="G86" s="1"/>
      <c r="H86" s="1">
        <f>SUM(OSRRefH22_17x_0)</f>
        <v>1503</v>
      </c>
      <c r="I86" s="1"/>
      <c r="J86" s="5">
        <f t="shared" si="62"/>
        <v>1.298017134171618E-2</v>
      </c>
      <c r="K86" s="1"/>
      <c r="L86" s="1">
        <f t="shared" si="63"/>
        <v>-1503</v>
      </c>
      <c r="M86" s="1"/>
      <c r="N86" s="5">
        <f t="shared" si="64"/>
        <v>-1</v>
      </c>
      <c r="O86" s="14"/>
      <c r="P86" s="1">
        <f>SUM(OSRRefP22_17x_0)</f>
        <v>1094.0899999999999</v>
      </c>
      <c r="Q86" s="1"/>
      <c r="R86" s="5">
        <f t="shared" si="65"/>
        <v>0.40216947806812786</v>
      </c>
      <c r="S86" s="1"/>
      <c r="T86" s="1">
        <f>SUM(OSRRefT22_17x_0)</f>
        <v>18884</v>
      </c>
      <c r="U86" s="1"/>
      <c r="V86" s="5">
        <f t="shared" si="66"/>
        <v>5.2698407382911809E-2</v>
      </c>
      <c r="W86" s="1"/>
      <c r="X86" s="1">
        <f t="shared" si="67"/>
        <v>-17789.91</v>
      </c>
      <c r="Y86" s="1"/>
      <c r="Z86" s="5">
        <f t="shared" si="68"/>
        <v>-0.94206259267104431</v>
      </c>
    </row>
    <row r="87" spans="1:26" s="24" customFormat="1" hidden="1" outlineLevel="2" x14ac:dyDescent="0.25">
      <c r="A87" s="27"/>
      <c r="B87" s="11" t="str">
        <f>CONCATENATE("          ", "6234", " - ", "EXPENDABLE SUPPLIES &amp; EQUIPMEN")</f>
        <v xml:space="preserve">          6234 - EXPENDABLE SUPPLIES &amp; EQUIPMEN</v>
      </c>
      <c r="C87" s="11"/>
      <c r="D87" s="7"/>
      <c r="E87" s="2"/>
      <c r="F87" s="6">
        <f t="shared" si="61"/>
        <v>0</v>
      </c>
      <c r="G87" s="2"/>
      <c r="H87" s="7"/>
      <c r="I87" s="2"/>
      <c r="J87" s="6">
        <f t="shared" si="62"/>
        <v>0</v>
      </c>
      <c r="K87" s="2"/>
      <c r="L87" s="7">
        <f t="shared" si="63"/>
        <v>0</v>
      </c>
      <c r="M87" s="2"/>
      <c r="N87" s="6">
        <f t="shared" si="64"/>
        <v>0</v>
      </c>
      <c r="O87" s="11"/>
      <c r="P87" s="7">
        <v>316.67</v>
      </c>
      <c r="Q87" s="2"/>
      <c r="R87" s="6">
        <f t="shared" si="65"/>
        <v>0.11640268041919227</v>
      </c>
      <c r="S87" s="2"/>
      <c r="T87" s="7">
        <v>28</v>
      </c>
      <c r="U87" s="2"/>
      <c r="V87" s="6">
        <f t="shared" si="66"/>
        <v>7.813786309688258E-5</v>
      </c>
      <c r="W87" s="2"/>
      <c r="X87" s="7">
        <f t="shared" si="67"/>
        <v>288.67</v>
      </c>
      <c r="Y87" s="2"/>
      <c r="Z87" s="6">
        <f t="shared" si="68"/>
        <v>10.309642857142858</v>
      </c>
    </row>
    <row r="88" spans="1:26" s="24" customFormat="1" hidden="1" outlineLevel="2" x14ac:dyDescent="0.25">
      <c r="A88" s="27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61"/>
        <v>0</v>
      </c>
      <c r="G88" s="2"/>
      <c r="H88" s="7">
        <v>400</v>
      </c>
      <c r="I88" s="2"/>
      <c r="J88" s="6">
        <f t="shared" si="62"/>
        <v>3.4544700842890699E-3</v>
      </c>
      <c r="K88" s="2"/>
      <c r="L88" s="7">
        <f t="shared" si="63"/>
        <v>-400</v>
      </c>
      <c r="M88" s="2"/>
      <c r="N88" s="6">
        <f t="shared" si="64"/>
        <v>-1</v>
      </c>
      <c r="O88" s="11"/>
      <c r="P88" s="7">
        <v>207.27</v>
      </c>
      <c r="Q88" s="2"/>
      <c r="R88" s="6">
        <f t="shared" si="65"/>
        <v>7.6189040864262425E-2</v>
      </c>
      <c r="S88" s="2"/>
      <c r="T88" s="7">
        <v>3700</v>
      </c>
      <c r="U88" s="2"/>
      <c r="V88" s="6">
        <f t="shared" si="66"/>
        <v>1.0325360480659483E-2</v>
      </c>
      <c r="W88" s="2"/>
      <c r="X88" s="7">
        <f t="shared" si="67"/>
        <v>-3492.73</v>
      </c>
      <c r="Y88" s="2"/>
      <c r="Z88" s="6">
        <f t="shared" si="68"/>
        <v>-0.94398108108108114</v>
      </c>
    </row>
    <row r="89" spans="1:26" s="24" customFormat="1" hidden="1" outlineLevel="2" x14ac:dyDescent="0.25">
      <c r="A89" s="27"/>
      <c r="B89" s="11" t="str">
        <f>CONCATENATE("          ", "6237", " - ", "JANITORIAL SUPPLIES")</f>
        <v xml:space="preserve">          6237 - JANITORIAL SUPPLIES</v>
      </c>
      <c r="C89" s="11"/>
      <c r="D89" s="7"/>
      <c r="E89" s="2"/>
      <c r="F89" s="6">
        <f t="shared" si="61"/>
        <v>0</v>
      </c>
      <c r="G89" s="2"/>
      <c r="H89" s="7"/>
      <c r="I89" s="2"/>
      <c r="J89" s="6">
        <f t="shared" si="62"/>
        <v>0</v>
      </c>
      <c r="K89" s="2"/>
      <c r="L89" s="7">
        <f t="shared" si="63"/>
        <v>0</v>
      </c>
      <c r="M89" s="2"/>
      <c r="N89" s="6">
        <f t="shared" si="64"/>
        <v>0</v>
      </c>
      <c r="O89" s="11"/>
      <c r="P89" s="7">
        <v>317.57</v>
      </c>
      <c r="Q89" s="2"/>
      <c r="R89" s="6">
        <f t="shared" si="65"/>
        <v>0.11673350560748692</v>
      </c>
      <c r="S89" s="2"/>
      <c r="T89" s="7">
        <v>691</v>
      </c>
      <c r="U89" s="2"/>
      <c r="V89" s="6">
        <f t="shared" si="66"/>
        <v>1.9283308357123522E-3</v>
      </c>
      <c r="W89" s="2"/>
      <c r="X89" s="7">
        <f t="shared" si="67"/>
        <v>-373.43</v>
      </c>
      <c r="Y89" s="2"/>
      <c r="Z89" s="6">
        <f t="shared" si="68"/>
        <v>-0.54041968162083942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7"/>
      <c r="E90" s="2"/>
      <c r="F90" s="6">
        <f t="shared" si="61"/>
        <v>0</v>
      </c>
      <c r="G90" s="2"/>
      <c r="H90" s="7"/>
      <c r="I90" s="2"/>
      <c r="J90" s="6">
        <f t="shared" si="62"/>
        <v>0</v>
      </c>
      <c r="K90" s="2"/>
      <c r="L90" s="7">
        <f t="shared" si="63"/>
        <v>0</v>
      </c>
      <c r="M90" s="2"/>
      <c r="N90" s="6">
        <f t="shared" si="64"/>
        <v>0</v>
      </c>
      <c r="O90" s="11"/>
      <c r="P90" s="7">
        <v>131.30000000000001</v>
      </c>
      <c r="Q90" s="2"/>
      <c r="R90" s="6">
        <f t="shared" si="65"/>
        <v>4.826371913676681E-2</v>
      </c>
      <c r="S90" s="2"/>
      <c r="T90" s="7"/>
      <c r="U90" s="2"/>
      <c r="V90" s="6">
        <f t="shared" si="66"/>
        <v>0</v>
      </c>
      <c r="W90" s="2"/>
      <c r="X90" s="7">
        <f t="shared" si="67"/>
        <v>131.30000000000001</v>
      </c>
      <c r="Y90" s="2"/>
      <c r="Z90" s="6">
        <f t="shared" si="68"/>
        <v>0</v>
      </c>
    </row>
    <row r="91" spans="1:26" s="24" customFormat="1" hidden="1" outlineLevel="2" x14ac:dyDescent="0.25">
      <c r="A91" s="27"/>
      <c r="B91" s="11" t="str">
        <f>CONCATENATE("          ", "6243", " - ", "PAPER SUPPLIES")</f>
        <v xml:space="preserve">          6243 - PAPER SUPPLIES</v>
      </c>
      <c r="C91" s="11"/>
      <c r="D91" s="7"/>
      <c r="E91" s="2"/>
      <c r="F91" s="6">
        <f t="shared" si="61"/>
        <v>0</v>
      </c>
      <c r="G91" s="2"/>
      <c r="H91" s="7">
        <v>142</v>
      </c>
      <c r="I91" s="2"/>
      <c r="J91" s="6">
        <f t="shared" si="62"/>
        <v>1.22633687992262E-3</v>
      </c>
      <c r="K91" s="2"/>
      <c r="L91" s="7">
        <f t="shared" si="63"/>
        <v>-142</v>
      </c>
      <c r="M91" s="2"/>
      <c r="N91" s="6">
        <f t="shared" si="64"/>
        <v>-1</v>
      </c>
      <c r="O91" s="11"/>
      <c r="P91" s="7"/>
      <c r="Q91" s="2"/>
      <c r="R91" s="6">
        <f t="shared" si="65"/>
        <v>0</v>
      </c>
      <c r="S91" s="2"/>
      <c r="T91" s="7">
        <v>1272</v>
      </c>
      <c r="U91" s="2"/>
      <c r="V91" s="6">
        <f t="shared" si="66"/>
        <v>3.5496914949726655E-3</v>
      </c>
      <c r="W91" s="2"/>
      <c r="X91" s="7">
        <f t="shared" si="67"/>
        <v>-1272</v>
      </c>
      <c r="Y91" s="2"/>
      <c r="Z91" s="6">
        <f t="shared" si="68"/>
        <v>-1</v>
      </c>
    </row>
    <row r="92" spans="1:26" s="24" customFormat="1" hidden="1" outlineLevel="2" x14ac:dyDescent="0.25">
      <c r="A92" s="27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6">
        <f t="shared" si="61"/>
        <v>0</v>
      </c>
      <c r="G92" s="2"/>
      <c r="H92" s="7">
        <v>961</v>
      </c>
      <c r="I92" s="2"/>
      <c r="J92" s="6">
        <f t="shared" si="62"/>
        <v>8.2993643775044913E-3</v>
      </c>
      <c r="K92" s="2"/>
      <c r="L92" s="7">
        <f t="shared" si="63"/>
        <v>-961</v>
      </c>
      <c r="M92" s="2"/>
      <c r="N92" s="6">
        <f t="shared" si="64"/>
        <v>-1</v>
      </c>
      <c r="O92" s="11"/>
      <c r="P92" s="7">
        <v>121.28</v>
      </c>
      <c r="Q92" s="2"/>
      <c r="R92" s="6">
        <f t="shared" si="65"/>
        <v>4.4580532040419479E-2</v>
      </c>
      <c r="S92" s="2"/>
      <c r="T92" s="7">
        <v>12993</v>
      </c>
      <c r="U92" s="2"/>
      <c r="V92" s="6">
        <f t="shared" si="66"/>
        <v>3.6258759114921262E-2</v>
      </c>
      <c r="W92" s="2"/>
      <c r="X92" s="7">
        <f t="shared" si="67"/>
        <v>-12871.72</v>
      </c>
      <c r="Y92" s="2"/>
      <c r="Z92" s="6">
        <f t="shared" si="68"/>
        <v>-0.99066574309243438</v>
      </c>
    </row>
    <row r="93" spans="1:26" s="24" customFormat="1" hidden="1" outlineLevel="2" x14ac:dyDescent="0.25">
      <c r="A93" s="27"/>
      <c r="B93" s="11" t="str">
        <f>CONCATENATE("          ", "6248", " - ", "UNIFORMS")</f>
        <v xml:space="preserve">          6248 - UNIFORMS</v>
      </c>
      <c r="C93" s="11"/>
      <c r="D93" s="7"/>
      <c r="E93" s="2"/>
      <c r="F93" s="6">
        <f t="shared" si="61"/>
        <v>0</v>
      </c>
      <c r="G93" s="2"/>
      <c r="H93" s="7"/>
      <c r="I93" s="2"/>
      <c r="J93" s="6">
        <f t="shared" si="62"/>
        <v>0</v>
      </c>
      <c r="K93" s="2"/>
      <c r="L93" s="7">
        <f t="shared" si="63"/>
        <v>0</v>
      </c>
      <c r="M93" s="2"/>
      <c r="N93" s="6">
        <f t="shared" si="64"/>
        <v>0</v>
      </c>
      <c r="O93" s="11"/>
      <c r="P93" s="7"/>
      <c r="Q93" s="2"/>
      <c r="R93" s="6">
        <f t="shared" si="65"/>
        <v>0</v>
      </c>
      <c r="S93" s="2"/>
      <c r="T93" s="7">
        <v>200</v>
      </c>
      <c r="U93" s="2"/>
      <c r="V93" s="6">
        <f t="shared" si="66"/>
        <v>5.5812759354916127E-4</v>
      </c>
      <c r="W93" s="2"/>
      <c r="X93" s="7">
        <f t="shared" si="67"/>
        <v>-200</v>
      </c>
      <c r="Y93" s="2"/>
      <c r="Z93" s="6">
        <f t="shared" si="68"/>
        <v>-1</v>
      </c>
    </row>
    <row r="94" spans="1:26" s="28" customFormat="1" outlineLevel="1" collapsed="1" x14ac:dyDescent="0.25">
      <c r="A94" s="29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SUM(OSRRefD22_18x_0)</f>
        <v>25.65</v>
      </c>
      <c r="E94" s="1"/>
      <c r="F94" s="5">
        <f t="shared" ref="F94:F96" si="69">IF(D$12=0,0,D94/D$12)</f>
        <v>0.19141791044776119</v>
      </c>
      <c r="G94" s="1"/>
      <c r="H94" s="1">
        <f>SUM(OSRRefH22_18x_0)</f>
        <v>235</v>
      </c>
      <c r="I94" s="1"/>
      <c r="J94" s="5">
        <f t="shared" ref="J94:J96" si="70">IF(H$12=0,0,H94/H$12)</f>
        <v>2.0295011745198287E-3</v>
      </c>
      <c r="K94" s="1"/>
      <c r="L94" s="1">
        <f t="shared" ref="L94:L96" si="71">+D94-H94</f>
        <v>-209.35</v>
      </c>
      <c r="M94" s="1"/>
      <c r="N94" s="5">
        <f t="shared" ref="N94:N96" si="72">IF(H94=0,0,L94/H94)</f>
        <v>-0.89085106382978718</v>
      </c>
      <c r="O94" s="14"/>
      <c r="P94" s="1">
        <f>SUM(OSRRefP22_18x_0)</f>
        <v>3011.44</v>
      </c>
      <c r="Q94" s="1"/>
      <c r="R94" s="5">
        <f t="shared" ref="R94:R96" si="73">IF(P$12=0,0,P94/P$12)</f>
        <v>1.1069557833756667</v>
      </c>
      <c r="S94" s="1"/>
      <c r="T94" s="1">
        <f>SUM(OSRRefT22_18x_0)</f>
        <v>2325</v>
      </c>
      <c r="U94" s="1"/>
      <c r="V94" s="5">
        <f t="shared" ref="V94:V96" si="74">IF(T$12=0,0,T94/T$12)</f>
        <v>6.4882332750089994E-3</v>
      </c>
      <c r="W94" s="1"/>
      <c r="X94" s="1">
        <f t="shared" ref="X94:X96" si="75">+P94-T94</f>
        <v>686.44</v>
      </c>
      <c r="Y94" s="1"/>
      <c r="Z94" s="5">
        <f t="shared" ref="Z94:Z96" si="76">IF(T94=0,0,X94/T94)</f>
        <v>0.29524301075268822</v>
      </c>
    </row>
    <row r="95" spans="1:26" s="24" customFormat="1" hidden="1" outlineLevel="2" x14ac:dyDescent="0.25">
      <c r="A95" s="27"/>
      <c r="B95" s="11" t="str">
        <f>CONCATENATE("          ", "6303", " - ", "DATA PHONE LINES")</f>
        <v xml:space="preserve">          6303 - DATA PHONE LINES</v>
      </c>
      <c r="C95" s="11"/>
      <c r="D95" s="7"/>
      <c r="E95" s="2"/>
      <c r="F95" s="6">
        <f t="shared" si="69"/>
        <v>0</v>
      </c>
      <c r="G95" s="2"/>
      <c r="H95" s="7">
        <v>235</v>
      </c>
      <c r="I95" s="2"/>
      <c r="J95" s="6">
        <f t="shared" si="70"/>
        <v>2.0295011745198287E-3</v>
      </c>
      <c r="K95" s="2"/>
      <c r="L95" s="7">
        <f t="shared" si="71"/>
        <v>-235</v>
      </c>
      <c r="M95" s="2"/>
      <c r="N95" s="6">
        <f t="shared" si="72"/>
        <v>-1</v>
      </c>
      <c r="O95" s="11"/>
      <c r="P95" s="7"/>
      <c r="Q95" s="2"/>
      <c r="R95" s="6">
        <f t="shared" si="73"/>
        <v>0</v>
      </c>
      <c r="S95" s="2"/>
      <c r="T95" s="7">
        <v>1875</v>
      </c>
      <c r="U95" s="2"/>
      <c r="V95" s="6">
        <f t="shared" si="74"/>
        <v>5.2324461895233865E-3</v>
      </c>
      <c r="W95" s="2"/>
      <c r="X95" s="7">
        <f t="shared" si="75"/>
        <v>-1875</v>
      </c>
      <c r="Y95" s="2"/>
      <c r="Z95" s="6">
        <f t="shared" si="76"/>
        <v>-1</v>
      </c>
    </row>
    <row r="96" spans="1:26" s="24" customFormat="1" hidden="1" outlineLevel="2" x14ac:dyDescent="0.25">
      <c r="A96" s="27"/>
      <c r="B96" s="11" t="str">
        <f>CONCATENATE("          ", "6309", " - ", "TELEPHONE")</f>
        <v xml:space="preserve">          6309 - TELEPHONE</v>
      </c>
      <c r="C96" s="11"/>
      <c r="D96" s="7">
        <v>25.65</v>
      </c>
      <c r="E96" s="2"/>
      <c r="F96" s="6">
        <f t="shared" si="69"/>
        <v>0.19141791044776119</v>
      </c>
      <c r="G96" s="2"/>
      <c r="H96" s="7"/>
      <c r="I96" s="2"/>
      <c r="J96" s="6">
        <f t="shared" si="70"/>
        <v>0</v>
      </c>
      <c r="K96" s="2"/>
      <c r="L96" s="7">
        <f t="shared" si="71"/>
        <v>25.65</v>
      </c>
      <c r="M96" s="2"/>
      <c r="N96" s="6">
        <f t="shared" si="72"/>
        <v>0</v>
      </c>
      <c r="O96" s="11"/>
      <c r="P96" s="7">
        <v>3011.44</v>
      </c>
      <c r="Q96" s="2"/>
      <c r="R96" s="6">
        <f t="shared" si="73"/>
        <v>1.1069557833756667</v>
      </c>
      <c r="S96" s="2"/>
      <c r="T96" s="7">
        <v>450</v>
      </c>
      <c r="U96" s="2"/>
      <c r="V96" s="6">
        <f t="shared" si="74"/>
        <v>1.2557870854856129E-3</v>
      </c>
      <c r="W96" s="2"/>
      <c r="X96" s="7">
        <f t="shared" si="75"/>
        <v>2561.44</v>
      </c>
      <c r="Y96" s="2"/>
      <c r="Z96" s="6">
        <f t="shared" si="76"/>
        <v>5.6920888888888888</v>
      </c>
    </row>
    <row r="97" spans="1:26" s="28" customFormat="1" outlineLevel="1" collapsed="1" x14ac:dyDescent="0.25">
      <c r="A97" s="29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SUM(OSRRefD22_19x_0)</f>
        <v>0</v>
      </c>
      <c r="E97" s="1"/>
      <c r="F97" s="5">
        <f t="shared" ref="F97:F102" si="77">IF(D$12=0,0,D97/D$12)</f>
        <v>0</v>
      </c>
      <c r="G97" s="1"/>
      <c r="H97" s="1">
        <f>SUM(OSRRefH22_19x_0)</f>
        <v>0</v>
      </c>
      <c r="I97" s="1"/>
      <c r="J97" s="5">
        <f t="shared" ref="J97:J102" si="78">IF(H$12=0,0,H97/H$12)</f>
        <v>0</v>
      </c>
      <c r="K97" s="1"/>
      <c r="L97" s="1">
        <f t="shared" ref="L97:L102" si="79">+D97-H97</f>
        <v>0</v>
      </c>
      <c r="M97" s="1"/>
      <c r="N97" s="5">
        <f t="shared" ref="N97:N102" si="80">IF(H97=0,0,L97/H97)</f>
        <v>0</v>
      </c>
      <c r="O97" s="14"/>
      <c r="P97" s="1">
        <f>SUM(OSRRefP22_19x_0)</f>
        <v>0</v>
      </c>
      <c r="Q97" s="1"/>
      <c r="R97" s="5">
        <f t="shared" ref="R97:R102" si="81">IF(P$12=0,0,P97/P$12)</f>
        <v>0</v>
      </c>
      <c r="S97" s="1"/>
      <c r="T97" s="1">
        <f>SUM(OSRRefT22_19x_0)</f>
        <v>240</v>
      </c>
      <c r="U97" s="1"/>
      <c r="V97" s="5">
        <f t="shared" ref="V97:V102" si="82">IF(T$12=0,0,T97/T$12)</f>
        <v>6.6975311225899348E-4</v>
      </c>
      <c r="W97" s="1"/>
      <c r="X97" s="1">
        <f t="shared" ref="X97:X102" si="83">+P97-T97</f>
        <v>-240</v>
      </c>
      <c r="Y97" s="1"/>
      <c r="Z97" s="5">
        <f t="shared" ref="Z97:Z102" si="84">IF(T97=0,0,X97/T97)</f>
        <v>-1</v>
      </c>
    </row>
    <row r="98" spans="1:26" s="24" customFormat="1" hidden="1" outlineLevel="2" x14ac:dyDescent="0.25">
      <c r="A98" s="27"/>
      <c r="B98" s="11" t="str">
        <f>CONCATENATE("          ", "6376", " - ", "TRAINING")</f>
        <v xml:space="preserve">          6376 - TRAINING</v>
      </c>
      <c r="C98" s="11"/>
      <c r="D98" s="7"/>
      <c r="E98" s="2"/>
      <c r="F98" s="6">
        <f t="shared" si="77"/>
        <v>0</v>
      </c>
      <c r="G98" s="2"/>
      <c r="H98" s="7"/>
      <c r="I98" s="2"/>
      <c r="J98" s="6">
        <f t="shared" si="78"/>
        <v>0</v>
      </c>
      <c r="K98" s="2"/>
      <c r="L98" s="7">
        <f t="shared" si="79"/>
        <v>0</v>
      </c>
      <c r="M98" s="2"/>
      <c r="N98" s="6">
        <f t="shared" si="80"/>
        <v>0</v>
      </c>
      <c r="O98" s="11"/>
      <c r="P98" s="7"/>
      <c r="Q98" s="2"/>
      <c r="R98" s="6">
        <f t="shared" si="81"/>
        <v>0</v>
      </c>
      <c r="S98" s="2"/>
      <c r="T98" s="7">
        <v>240</v>
      </c>
      <c r="U98" s="2"/>
      <c r="V98" s="6">
        <f t="shared" si="82"/>
        <v>6.6975311225899348E-4</v>
      </c>
      <c r="W98" s="2"/>
      <c r="X98" s="7">
        <f t="shared" si="83"/>
        <v>-240</v>
      </c>
      <c r="Y98" s="2"/>
      <c r="Z98" s="6">
        <f t="shared" si="84"/>
        <v>-1</v>
      </c>
    </row>
    <row r="99" spans="1:26" s="28" customFormat="1" outlineLevel="1" collapsed="1" x14ac:dyDescent="0.25">
      <c r="A99" s="29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SUM(OSRRefD22_20x_0)</f>
        <v>0</v>
      </c>
      <c r="E99" s="1"/>
      <c r="F99" s="5">
        <f t="shared" si="77"/>
        <v>0</v>
      </c>
      <c r="G99" s="1"/>
      <c r="H99" s="1">
        <f>SUM(OSRRefH22_20x_0)</f>
        <v>0</v>
      </c>
      <c r="I99" s="1"/>
      <c r="J99" s="5">
        <f t="shared" si="78"/>
        <v>0</v>
      </c>
      <c r="K99" s="1"/>
      <c r="L99" s="1">
        <f t="shared" si="79"/>
        <v>0</v>
      </c>
      <c r="M99" s="1"/>
      <c r="N99" s="5">
        <f t="shared" si="80"/>
        <v>0</v>
      </c>
      <c r="O99" s="14"/>
      <c r="P99" s="1">
        <f>SUM(OSRRefP22_20x_0)</f>
        <v>0</v>
      </c>
      <c r="Q99" s="1"/>
      <c r="R99" s="5">
        <f t="shared" si="81"/>
        <v>0</v>
      </c>
      <c r="S99" s="1"/>
      <c r="T99" s="1">
        <f>SUM(OSRRefT22_20x_0)</f>
        <v>1500</v>
      </c>
      <c r="U99" s="1"/>
      <c r="V99" s="5">
        <f t="shared" si="82"/>
        <v>4.1859569516187094E-3</v>
      </c>
      <c r="W99" s="1"/>
      <c r="X99" s="1">
        <f t="shared" si="83"/>
        <v>-1500</v>
      </c>
      <c r="Y99" s="1"/>
      <c r="Z99" s="5">
        <f t="shared" si="84"/>
        <v>-1</v>
      </c>
    </row>
    <row r="100" spans="1:26" s="24" customFormat="1" hidden="1" outlineLevel="2" x14ac:dyDescent="0.25">
      <c r="A100" s="27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77"/>
        <v>0</v>
      </c>
      <c r="G100" s="2"/>
      <c r="H100" s="7"/>
      <c r="I100" s="2"/>
      <c r="J100" s="6">
        <f t="shared" si="78"/>
        <v>0</v>
      </c>
      <c r="K100" s="2"/>
      <c r="L100" s="7">
        <f t="shared" si="79"/>
        <v>0</v>
      </c>
      <c r="M100" s="2"/>
      <c r="N100" s="6">
        <f t="shared" si="80"/>
        <v>0</v>
      </c>
      <c r="O100" s="11"/>
      <c r="P100" s="7"/>
      <c r="Q100" s="2"/>
      <c r="R100" s="6">
        <f t="shared" si="81"/>
        <v>0</v>
      </c>
      <c r="S100" s="2"/>
      <c r="T100" s="7">
        <v>1500</v>
      </c>
      <c r="U100" s="2"/>
      <c r="V100" s="6">
        <f t="shared" si="82"/>
        <v>4.1859569516187094E-3</v>
      </c>
      <c r="W100" s="2"/>
      <c r="X100" s="7">
        <f t="shared" si="83"/>
        <v>-1500</v>
      </c>
      <c r="Y100" s="2"/>
      <c r="Z100" s="6">
        <f t="shared" si="84"/>
        <v>-1</v>
      </c>
    </row>
    <row r="101" spans="1:26" s="28" customFormat="1" outlineLevel="1" collapsed="1" x14ac:dyDescent="0.25">
      <c r="A101" s="29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SUM(OSRRefD22_21x_0)</f>
        <v>1136</v>
      </c>
      <c r="E101" s="1"/>
      <c r="F101" s="5">
        <f t="shared" si="77"/>
        <v>8.4776119402985071</v>
      </c>
      <c r="G101" s="1"/>
      <c r="H101" s="1">
        <f>SUM(OSRRefH22_21x_0)</f>
        <v>850</v>
      </c>
      <c r="I101" s="1"/>
      <c r="J101" s="5">
        <f t="shared" si="78"/>
        <v>7.3407489291142736E-3</v>
      </c>
      <c r="K101" s="1"/>
      <c r="L101" s="1">
        <f t="shared" si="79"/>
        <v>286</v>
      </c>
      <c r="M101" s="1"/>
      <c r="N101" s="5">
        <f t="shared" si="80"/>
        <v>0.33647058823529413</v>
      </c>
      <c r="O101" s="14"/>
      <c r="P101" s="1">
        <f>SUM(OSRRefP22_21x_0)</f>
        <v>5830</v>
      </c>
      <c r="Q101" s="1"/>
      <c r="R101" s="5">
        <f t="shared" si="81"/>
        <v>2.1430120530643602</v>
      </c>
      <c r="S101" s="1"/>
      <c r="T101" s="1">
        <f>SUM(OSRRefT22_21x_0)</f>
        <v>7094</v>
      </c>
      <c r="U101" s="1"/>
      <c r="V101" s="5">
        <f t="shared" si="82"/>
        <v>1.9796785743188751E-2</v>
      </c>
      <c r="W101" s="1"/>
      <c r="X101" s="1">
        <f t="shared" si="83"/>
        <v>-1264</v>
      </c>
      <c r="Y101" s="1"/>
      <c r="Z101" s="5">
        <f t="shared" si="84"/>
        <v>-0.17817874259937977</v>
      </c>
    </row>
    <row r="102" spans="1:26" s="24" customFormat="1" hidden="1" outlineLevel="2" x14ac:dyDescent="0.25">
      <c r="A102" s="27"/>
      <c r="B102" s="11" t="str">
        <f>CONCATENATE("          ", "6274", " - ", "UTILITIES")</f>
        <v xml:space="preserve">          6274 - UTILITIES</v>
      </c>
      <c r="C102" s="11"/>
      <c r="D102" s="7">
        <v>1136</v>
      </c>
      <c r="E102" s="2"/>
      <c r="F102" s="6">
        <f t="shared" si="77"/>
        <v>8.4776119402985071</v>
      </c>
      <c r="G102" s="2"/>
      <c r="H102" s="7">
        <v>850</v>
      </c>
      <c r="I102" s="2"/>
      <c r="J102" s="6">
        <f t="shared" si="78"/>
        <v>7.3407489291142736E-3</v>
      </c>
      <c r="K102" s="2"/>
      <c r="L102" s="7">
        <f t="shared" si="79"/>
        <v>286</v>
      </c>
      <c r="M102" s="2"/>
      <c r="N102" s="6">
        <f t="shared" si="80"/>
        <v>0.33647058823529413</v>
      </c>
      <c r="O102" s="11"/>
      <c r="P102" s="7">
        <v>5830</v>
      </c>
      <c r="Q102" s="2"/>
      <c r="R102" s="6">
        <f t="shared" si="81"/>
        <v>2.1430120530643602</v>
      </c>
      <c r="S102" s="2"/>
      <c r="T102" s="7">
        <v>7094</v>
      </c>
      <c r="U102" s="2"/>
      <c r="V102" s="6">
        <f t="shared" si="82"/>
        <v>1.9796785743188751E-2</v>
      </c>
      <c r="W102" s="2"/>
      <c r="X102" s="7">
        <f t="shared" si="83"/>
        <v>-1264</v>
      </c>
      <c r="Y102" s="2"/>
      <c r="Z102" s="6">
        <f t="shared" si="84"/>
        <v>-0.17817874259937977</v>
      </c>
    </row>
    <row r="103" spans="1:26" s="58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6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5" t="s">
        <v>3</v>
      </c>
      <c r="C106" s="25"/>
      <c r="D106" s="19">
        <f>+D24-D26+D104</f>
        <v>-34647.020000000004</v>
      </c>
      <c r="E106" s="13"/>
      <c r="F106" s="21">
        <f>IF(D$12=0,0,D106/D$12)</f>
        <v>-258.55985074626869</v>
      </c>
      <c r="G106" s="13"/>
      <c r="H106" s="19">
        <f>+H24-H26+H104</f>
        <v>-9407.6871724000084</v>
      </c>
      <c r="I106" s="13"/>
      <c r="J106" s="21">
        <f>IF(H$12=0,0,H106/H$12)</f>
        <v>-8.1246434748514645E-2</v>
      </c>
      <c r="K106" s="15"/>
      <c r="L106" s="19">
        <f>+D106-H106</f>
        <v>-25239.332827599996</v>
      </c>
      <c r="M106" s="15"/>
      <c r="N106" s="21">
        <f>IF(H106=0,0,L106/H106)</f>
        <v>2.6828414216032179</v>
      </c>
      <c r="O106" s="26"/>
      <c r="P106" s="19">
        <f>+P24-P26+P104</f>
        <v>-228895.40000000002</v>
      </c>
      <c r="Q106" s="13"/>
      <c r="R106" s="21">
        <f>IF(P$12=0,0,P106/P$12)</f>
        <v>-84.138182005315258</v>
      </c>
      <c r="S106" s="13"/>
      <c r="T106" s="19">
        <f>+T24-T26+T104</f>
        <v>-238009.02760610002</v>
      </c>
      <c r="U106" s="13"/>
      <c r="V106" s="21">
        <f>IF(T$12=0,0,T106/T$12)</f>
        <v>-0.66419702910384248</v>
      </c>
      <c r="W106" s="15"/>
      <c r="X106" s="19">
        <f>+P106-T106</f>
        <v>9113.6276060999953</v>
      </c>
      <c r="Y106" s="15"/>
      <c r="Z106" s="21">
        <f>IF(T106=0,0,X106/T106)</f>
        <v>-3.8291100542551096E-2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69.239999999999995</v>
      </c>
      <c r="E108" s="4"/>
      <c r="F108" s="12">
        <f>IF(D$12=0,0,D108/D$12)</f>
        <v>0.51671641791044776</v>
      </c>
      <c r="G108" s="4"/>
      <c r="H108" s="4">
        <v>19535</v>
      </c>
      <c r="I108" s="4"/>
      <c r="J108" s="12">
        <f>IF(H$12=0,0,H108/H$12)</f>
        <v>0.16870768274146747</v>
      </c>
      <c r="K108" s="4"/>
      <c r="L108" s="4">
        <f>+D108-H108</f>
        <v>-19465.759999999998</v>
      </c>
      <c r="M108" s="4"/>
      <c r="N108" s="12">
        <f>IF(H108=0,0,L108/H108)</f>
        <v>-0.99645559252623483</v>
      </c>
      <c r="O108" s="10"/>
      <c r="P108" s="4">
        <v>538.75</v>
      </c>
      <c r="Q108" s="4"/>
      <c r="R108" s="12">
        <f>IF(P$12=0,0,P108/P$12)</f>
        <v>0.19803563354861475</v>
      </c>
      <c r="S108" s="4"/>
      <c r="T108" s="4">
        <v>61626</v>
      </c>
      <c r="U108" s="4"/>
      <c r="V108" s="12">
        <f>IF(T$12=0,0,T108/T$12)</f>
        <v>0.17197585540030305</v>
      </c>
      <c r="W108" s="4"/>
      <c r="X108" s="4">
        <f>+P108-T108</f>
        <v>-61087.25</v>
      </c>
      <c r="Y108" s="4"/>
      <c r="Z108" s="12">
        <f>IF(T108=0,0,X108/T108)</f>
        <v>-0.99125774835296787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4</v>
      </c>
      <c r="C110" s="25"/>
      <c r="D110" s="34">
        <f>+D106-D108</f>
        <v>-34716.26</v>
      </c>
      <c r="E110" s="13"/>
      <c r="F110" s="30">
        <f>IF(D$12=0,0,D110/D$12)</f>
        <v>-259.0765671641791</v>
      </c>
      <c r="G110" s="13"/>
      <c r="H110" s="34">
        <f>+H106-H108</f>
        <v>-28942.687172400008</v>
      </c>
      <c r="I110" s="13"/>
      <c r="J110" s="30">
        <f>IF(H$12=0,0,H110/H$12)</f>
        <v>-0.24995411748998211</v>
      </c>
      <c r="K110" s="15"/>
      <c r="L110" s="34">
        <f>D110-H110</f>
        <v>-5773.5728275999936</v>
      </c>
      <c r="M110" s="15"/>
      <c r="N110" s="30">
        <f>IF(H110=0,0,L110/H110)</f>
        <v>0.19948295723922005</v>
      </c>
      <c r="O110" s="26"/>
      <c r="P110" s="34">
        <f>+P106-P108</f>
        <v>-229434.15000000002</v>
      </c>
      <c r="Q110" s="13"/>
      <c r="R110" s="30">
        <f>IF(P$12=0,0,P110/P$12)</f>
        <v>-84.336217638863872</v>
      </c>
      <c r="S110" s="13"/>
      <c r="T110" s="34">
        <f>+T106-T108</f>
        <v>-299635.02760610002</v>
      </c>
      <c r="U110" s="13"/>
      <c r="V110" s="30">
        <f>IF(T$12=0,0,T110/T$12)</f>
        <v>-0.83617288450414551</v>
      </c>
      <c r="W110" s="15"/>
      <c r="X110" s="34">
        <f>P110-T110</f>
        <v>70200.877606099995</v>
      </c>
      <c r="Y110" s="15"/>
      <c r="Z110" s="30">
        <f>IF(T110=0,0,X110/T110)</f>
        <v>-0.23428795413861297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5" t="s">
        <v>5</v>
      </c>
      <c r="C113" s="25"/>
      <c r="D113" s="35">
        <f>SUM(D110:D112)</f>
        <v>-34716.26</v>
      </c>
      <c r="E113" s="13"/>
      <c r="F113" s="31">
        <f>IF(D$12=0,0,D113/D$12)</f>
        <v>-259.0765671641791</v>
      </c>
      <c r="G113" s="13"/>
      <c r="H113" s="35">
        <f>SUM(H110:H112)</f>
        <v>-28942.687172400008</v>
      </c>
      <c r="I113" s="13"/>
      <c r="J113" s="31">
        <f>IF(H$12=0,0,H113/H$12)</f>
        <v>-0.24995411748998211</v>
      </c>
      <c r="K113" s="15"/>
      <c r="L113" s="35">
        <f>+D113-H113</f>
        <v>-5773.5728275999936</v>
      </c>
      <c r="M113" s="15"/>
      <c r="N113" s="31">
        <f>IF(H113=0,0,L113/H113)</f>
        <v>0.19948295723922005</v>
      </c>
      <c r="O113" s="26"/>
      <c r="P113" s="35">
        <f>SUM(P110:P112)</f>
        <v>-229434.15000000002</v>
      </c>
      <c r="Q113" s="13"/>
      <c r="R113" s="31">
        <f>IF(P$12=0,0,P113/P$12)</f>
        <v>-84.336217638863872</v>
      </c>
      <c r="S113" s="13"/>
      <c r="T113" s="35">
        <f>SUM(T110:T112)</f>
        <v>-299635.02760610002</v>
      </c>
      <c r="U113" s="13"/>
      <c r="V113" s="31">
        <f>IF(T$12=0,0,T113/T$12)</f>
        <v>-0.83617288450414551</v>
      </c>
      <c r="W113" s="15"/>
      <c r="X113" s="35">
        <f>+P113-T113</f>
        <v>70200.877606099995</v>
      </c>
      <c r="Y113" s="15"/>
      <c r="Z113" s="31">
        <f>IF(T113=0,0,X113/T113)</f>
        <v>-0.23428795413861297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6" x14ac:dyDescent="0.25">
      <c r="A115" s="9"/>
      <c r="B115" s="53">
        <v>44267.671363310183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2" t="s">
        <v>314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7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2</v>
      </c>
      <c r="U13" s="2"/>
      <c r="V13" s="22"/>
      <c r="W13" s="2"/>
      <c r="X13" s="2">
        <f t="shared" si="2"/>
        <v>-2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5"/>
      <c r="L18" s="19">
        <f>+D18-H18</f>
        <v>0</v>
      </c>
      <c r="M18" s="15"/>
      <c r="N18" s="21">
        <f>IF(H18=0,0,L18/H18)</f>
        <v>0</v>
      </c>
      <c r="O18" s="26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2</v>
      </c>
      <c r="U18" s="13"/>
      <c r="V18" s="21">
        <f>IF(T$12=0,0,T18/T$12)</f>
        <v>1</v>
      </c>
      <c r="W18" s="15"/>
      <c r="X18" s="19">
        <f>+P18-T18</f>
        <v>-2</v>
      </c>
      <c r="Y18" s="15"/>
      <c r="Z18" s="21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>
        <f>SUM(OSRRefD22x_0)</f>
        <v>760.09999999999991</v>
      </c>
      <c r="E20" s="20"/>
      <c r="F20" s="33">
        <f t="shared" ref="F20:F29" si="12">IF(D$12=0,0,D20/D$12)</f>
        <v>0</v>
      </c>
      <c r="G20" s="20"/>
      <c r="H20" s="20">
        <f>SUM(OSRRefH22x_0)</f>
        <v>0</v>
      </c>
      <c r="I20" s="20"/>
      <c r="J20" s="33">
        <f t="shared" ref="J20:J29" si="13">IF(H$12=0,0,H20/H$12)</f>
        <v>0</v>
      </c>
      <c r="K20" s="4"/>
      <c r="L20" s="20">
        <f t="shared" ref="L20:L29" si="14">+D20-H20</f>
        <v>760.09999999999991</v>
      </c>
      <c r="M20" s="4"/>
      <c r="N20" s="33">
        <f t="shared" ref="N20:N29" si="15">IF(H20=0,0,L20/H20)</f>
        <v>0</v>
      </c>
      <c r="O20" s="10"/>
      <c r="P20" s="20">
        <f>SUM(OSRRefP22x_0)</f>
        <v>7771.1</v>
      </c>
      <c r="Q20" s="20"/>
      <c r="R20" s="33">
        <f t="shared" ref="R20:R29" si="16">IF(P$12=0,0,P20/P$12)</f>
        <v>0</v>
      </c>
      <c r="S20" s="20"/>
      <c r="T20" s="20">
        <f>SUM(OSRRefT22x_0)</f>
        <v>0</v>
      </c>
      <c r="U20" s="20"/>
      <c r="V20" s="33">
        <f t="shared" ref="V20:V29" si="17">IF(T$12=0,0,T20/T$12)</f>
        <v>0</v>
      </c>
      <c r="W20" s="4"/>
      <c r="X20" s="20">
        <f t="shared" ref="X20:X29" si="18">+P20-T20</f>
        <v>7771.1</v>
      </c>
      <c r="Y20" s="4"/>
      <c r="Z20" s="33">
        <f t="shared" ref="Z20:Z29" si="19">IF(T20=0,0,X20/T20)</f>
        <v>0</v>
      </c>
    </row>
    <row r="21" spans="1:26" s="28" customFormat="1" outlineLevel="1" collapsed="1" x14ac:dyDescent="0.25">
      <c r="A21" s="29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7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7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7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7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7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4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4441.1400000000003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4441.1400000000003</v>
      </c>
      <c r="Y45" s="1"/>
      <c r="Z45" s="5">
        <f t="shared" si="35"/>
        <v>0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4441.1400000000003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4441.1400000000003</v>
      </c>
      <c r="Y46" s="2"/>
      <c r="Z46" s="6">
        <f t="shared" si="35"/>
        <v>0</v>
      </c>
    </row>
    <row r="47" spans="1:26" s="28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8" customFormat="1" outlineLevel="1" collapsed="1" x14ac:dyDescent="0.25">
      <c r="A51" s="29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4"/>
      <c r="P51" s="1">
        <f>SUM(OSRRefP22_7x_0)</f>
        <v>1232.0500000000002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1232.0500000000002</v>
      </c>
      <c r="Y51" s="1"/>
      <c r="Z51" s="5">
        <f t="shared" si="35"/>
        <v>0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214.36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214.36</v>
      </c>
      <c r="Y52" s="2"/>
      <c r="Z52" s="6">
        <f t="shared" si="35"/>
        <v>0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8" customFormat="1" outlineLevel="1" collapsed="1" x14ac:dyDescent="0.25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141.93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141.93</v>
      </c>
      <c r="M54" s="1"/>
      <c r="N54" s="5">
        <f t="shared" ref="N54:N56" si="39">IF(H54=0,0,L54/H54)</f>
        <v>0</v>
      </c>
      <c r="O54" s="14"/>
      <c r="P54" s="1">
        <f>SUM(OSRRefP22_8x_0)</f>
        <v>1176.5900000000001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1176.5900000000001</v>
      </c>
      <c r="Y54" s="1"/>
      <c r="Z54" s="5">
        <f t="shared" ref="Z54:Z56" si="43">IF(T54=0,0,X54/T54)</f>
        <v>0</v>
      </c>
    </row>
    <row r="55" spans="1:26" s="24" customFormat="1" hidden="1" outlineLevel="2" x14ac:dyDescent="0.25">
      <c r="A55" s="27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141.93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141.93</v>
      </c>
      <c r="M55" s="2"/>
      <c r="N55" s="6">
        <f t="shared" si="39"/>
        <v>0</v>
      </c>
      <c r="O55" s="11"/>
      <c r="P55" s="7">
        <v>1349.63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1349.63</v>
      </c>
      <c r="Y55" s="2"/>
      <c r="Z55" s="6">
        <f t="shared" si="43"/>
        <v>0</v>
      </c>
    </row>
    <row r="56" spans="1:26" s="24" customFormat="1" hidden="1" outlineLevel="2" x14ac:dyDescent="0.25">
      <c r="A56" s="27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8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0</v>
      </c>
      <c r="E57" s="1"/>
      <c r="F57" s="5">
        <f t="shared" ref="F57:F60" si="44">IF(D$12=0,0,D57/D$12)</f>
        <v>0</v>
      </c>
      <c r="G57" s="1"/>
      <c r="H57" s="1">
        <f>SUM(OSRRefH22_9x_0)</f>
        <v>0</v>
      </c>
      <c r="I57" s="1"/>
      <c r="J57" s="5">
        <f t="shared" ref="J57:J60" si="45">IF(H$12=0,0,H57/H$12)</f>
        <v>0</v>
      </c>
      <c r="K57" s="1"/>
      <c r="L57" s="1">
        <f t="shared" ref="L57:L60" si="46">+D57-H57</f>
        <v>0</v>
      </c>
      <c r="M57" s="1"/>
      <c r="N57" s="5">
        <f t="shared" ref="N57:N60" si="47">IF(H57=0,0,L57/H57)</f>
        <v>0</v>
      </c>
      <c r="O57" s="14"/>
      <c r="P57" s="1">
        <f>SUM(OSRRefP22_9x_0)</f>
        <v>0</v>
      </c>
      <c r="Q57" s="1"/>
      <c r="R57" s="5">
        <f t="shared" ref="R57:R60" si="48">IF(P$12=0,0,P57/P$12)</f>
        <v>0</v>
      </c>
      <c r="S57" s="1"/>
      <c r="T57" s="1">
        <f>SUM(OSRRefT22_9x_0)</f>
        <v>0</v>
      </c>
      <c r="U57" s="1"/>
      <c r="V57" s="5">
        <f t="shared" ref="V57:V60" si="49">IF(T$12=0,0,T57/T$12)</f>
        <v>0</v>
      </c>
      <c r="W57" s="1"/>
      <c r="X57" s="1">
        <f t="shared" ref="X57:X60" si="50">+P57-T57</f>
        <v>0</v>
      </c>
      <c r="Y57" s="1"/>
      <c r="Z57" s="5">
        <f t="shared" ref="Z57:Z60" si="51">IF(T57=0,0,X57/T57)</f>
        <v>0</v>
      </c>
    </row>
    <row r="58" spans="1:26" s="24" customFormat="1" hidden="1" outlineLevel="2" x14ac:dyDescent="0.25">
      <c r="A58" s="27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25">
      <c r="A59" s="27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7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8" customFormat="1" outlineLevel="1" collapsed="1" x14ac:dyDescent="0.25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30</v>
      </c>
      <c r="E61" s="1"/>
      <c r="F61" s="5">
        <f t="shared" ref="F61:F62" si="52">IF(D$12=0,0,D61/D$12)</f>
        <v>0</v>
      </c>
      <c r="G61" s="1"/>
      <c r="H61" s="1">
        <f>SUM(OSRRefH22_10x_0)</f>
        <v>0</v>
      </c>
      <c r="I61" s="1"/>
      <c r="J61" s="5">
        <f t="shared" ref="J61:J62" si="53">IF(H$12=0,0,H61/H$12)</f>
        <v>0</v>
      </c>
      <c r="K61" s="1"/>
      <c r="L61" s="1">
        <f t="shared" ref="L61:L62" si="54">+D61-H61</f>
        <v>30</v>
      </c>
      <c r="M61" s="1"/>
      <c r="N61" s="5">
        <f t="shared" ref="N61:N62" si="55">IF(H61=0,0,L61/H61)</f>
        <v>0</v>
      </c>
      <c r="O61" s="14"/>
      <c r="P61" s="1">
        <f>SUM(OSRRefP22_10x_0)</f>
        <v>334.32</v>
      </c>
      <c r="Q61" s="1"/>
      <c r="R61" s="5">
        <f t="shared" ref="R61:R62" si="56">IF(P$12=0,0,P61/P$12)</f>
        <v>0</v>
      </c>
      <c r="S61" s="1"/>
      <c r="T61" s="1">
        <f>SUM(OSRRefT22_10x_0)</f>
        <v>0</v>
      </c>
      <c r="U61" s="1"/>
      <c r="V61" s="5">
        <f t="shared" ref="V61:V62" si="57">IF(T$12=0,0,T61/T$12)</f>
        <v>0</v>
      </c>
      <c r="W61" s="1"/>
      <c r="X61" s="1">
        <f t="shared" ref="X61:X62" si="58">+P61-T61</f>
        <v>334.32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7">
        <v>30</v>
      </c>
      <c r="E62" s="2"/>
      <c r="F62" s="6">
        <f t="shared" si="52"/>
        <v>0</v>
      </c>
      <c r="G62" s="2"/>
      <c r="H62" s="7"/>
      <c r="I62" s="2"/>
      <c r="J62" s="6">
        <f t="shared" si="53"/>
        <v>0</v>
      </c>
      <c r="K62" s="2"/>
      <c r="L62" s="7">
        <f t="shared" si="54"/>
        <v>30</v>
      </c>
      <c r="M62" s="2"/>
      <c r="N62" s="6">
        <f t="shared" si="55"/>
        <v>0</v>
      </c>
      <c r="O62" s="11"/>
      <c r="P62" s="7">
        <v>334.32</v>
      </c>
      <c r="Q62" s="2"/>
      <c r="R62" s="6">
        <f t="shared" si="56"/>
        <v>0</v>
      </c>
      <c r="S62" s="2"/>
      <c r="T62" s="7"/>
      <c r="U62" s="2"/>
      <c r="V62" s="6">
        <f t="shared" si="57"/>
        <v>0</v>
      </c>
      <c r="W62" s="2"/>
      <c r="X62" s="7">
        <f t="shared" si="58"/>
        <v>334.32</v>
      </c>
      <c r="Y62" s="2"/>
      <c r="Z62" s="6">
        <f t="shared" si="59"/>
        <v>0</v>
      </c>
    </row>
    <row r="63" spans="1:26" s="58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6" t="s">
        <v>0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5" t="s">
        <v>3</v>
      </c>
      <c r="C66" s="25"/>
      <c r="D66" s="19">
        <f>+D18-D20+D64</f>
        <v>-760.09999999999991</v>
      </c>
      <c r="E66" s="13"/>
      <c r="F66" s="21">
        <f>IF(D$12=0,0,D66/D$12)</f>
        <v>0</v>
      </c>
      <c r="G66" s="13"/>
      <c r="H66" s="19">
        <f>+H18-H20+H64</f>
        <v>0</v>
      </c>
      <c r="I66" s="13"/>
      <c r="J66" s="21">
        <f>IF(H$12=0,0,H66/H$12)</f>
        <v>0</v>
      </c>
      <c r="K66" s="15"/>
      <c r="L66" s="19">
        <f>+D66-H66</f>
        <v>-760.09999999999991</v>
      </c>
      <c r="M66" s="15"/>
      <c r="N66" s="21">
        <f>IF(H66=0,0,L66/H66)</f>
        <v>0</v>
      </c>
      <c r="O66" s="26"/>
      <c r="P66" s="19">
        <f>+P18-P20+P64</f>
        <v>-7771.1</v>
      </c>
      <c r="Q66" s="13"/>
      <c r="R66" s="21">
        <f>IF(P$12=0,0,P66/P$12)</f>
        <v>0</v>
      </c>
      <c r="S66" s="13"/>
      <c r="T66" s="19">
        <f>+T18-T20+T64</f>
        <v>2</v>
      </c>
      <c r="U66" s="13"/>
      <c r="V66" s="21">
        <f>IF(T$12=0,0,T66/T$12)</f>
        <v>1</v>
      </c>
      <c r="W66" s="15"/>
      <c r="X66" s="19">
        <f>+P66-T66</f>
        <v>-7773.1</v>
      </c>
      <c r="Y66" s="15"/>
      <c r="Z66" s="21">
        <f>IF(T66=0,0,X66/T66)</f>
        <v>-3886.55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2"/>
      <c r="B68" s="10" t="s">
        <v>14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5" t="s">
        <v>4</v>
      </c>
      <c r="C70" s="25"/>
      <c r="D70" s="34">
        <f>+D66-D68</f>
        <v>-760.09999999999991</v>
      </c>
      <c r="E70" s="13"/>
      <c r="F70" s="30">
        <f>IF(D$12=0,0,D70/D$12)</f>
        <v>0</v>
      </c>
      <c r="G70" s="13"/>
      <c r="H70" s="34">
        <f>+H66-H68</f>
        <v>0</v>
      </c>
      <c r="I70" s="13"/>
      <c r="J70" s="30">
        <f>IF(H$12=0,0,H70/H$12)</f>
        <v>0</v>
      </c>
      <c r="K70" s="15"/>
      <c r="L70" s="34">
        <f>D70-H70</f>
        <v>-760.09999999999991</v>
      </c>
      <c r="M70" s="15"/>
      <c r="N70" s="30">
        <f>IF(H70=0,0,L70/H70)</f>
        <v>0</v>
      </c>
      <c r="O70" s="26"/>
      <c r="P70" s="34">
        <f>+P66-P68</f>
        <v>-7771.1</v>
      </c>
      <c r="Q70" s="13"/>
      <c r="R70" s="30">
        <f>IF(P$12=0,0,P70/P$12)</f>
        <v>0</v>
      </c>
      <c r="S70" s="13"/>
      <c r="T70" s="34">
        <f>+T66-T68</f>
        <v>2</v>
      </c>
      <c r="U70" s="13"/>
      <c r="V70" s="30">
        <f>IF(T$12=0,0,T70/T$12)</f>
        <v>1</v>
      </c>
      <c r="W70" s="15"/>
      <c r="X70" s="34">
        <f>P70-T70</f>
        <v>-7773.1</v>
      </c>
      <c r="Y70" s="15"/>
      <c r="Z70" s="30">
        <f>IF(T70=0,0,X70/T70)</f>
        <v>-3886.55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5</v>
      </c>
      <c r="C73" s="25"/>
      <c r="D73" s="35">
        <f>SUM(D70:D72)</f>
        <v>-760.09999999999991</v>
      </c>
      <c r="E73" s="13"/>
      <c r="F73" s="31">
        <f>IF(D$12=0,0,D73/D$12)</f>
        <v>0</v>
      </c>
      <c r="G73" s="13"/>
      <c r="H73" s="35">
        <f>SUM(H70:H72)</f>
        <v>0</v>
      </c>
      <c r="I73" s="13"/>
      <c r="J73" s="31">
        <f>IF(H$12=0,0,H73/H$12)</f>
        <v>0</v>
      </c>
      <c r="K73" s="15"/>
      <c r="L73" s="35">
        <f>+D73-H73</f>
        <v>-760.09999999999991</v>
      </c>
      <c r="M73" s="15"/>
      <c r="N73" s="31">
        <f>IF(H73=0,0,L73/H73)</f>
        <v>0</v>
      </c>
      <c r="O73" s="26"/>
      <c r="P73" s="35">
        <f>SUM(P70:P72)</f>
        <v>-7771.1</v>
      </c>
      <c r="Q73" s="13"/>
      <c r="R73" s="31">
        <f>IF(P$12=0,0,P73/P$12)</f>
        <v>0</v>
      </c>
      <c r="S73" s="13"/>
      <c r="T73" s="35">
        <f>SUM(T70:T72)</f>
        <v>2</v>
      </c>
      <c r="U73" s="13"/>
      <c r="V73" s="31">
        <f>IF(T$12=0,0,T73/T$12)</f>
        <v>1</v>
      </c>
      <c r="W73" s="15"/>
      <c r="X73" s="35">
        <f>+P73-T73</f>
        <v>-7773.1</v>
      </c>
      <c r="Y73" s="15"/>
      <c r="Z73" s="31">
        <f>IF(T73=0,0,X73/T73)</f>
        <v>-3886.55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3">
        <v>44267.671776967596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62" t="s">
        <v>314</v>
      </c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7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40770</v>
      </c>
      <c r="I12" s="4"/>
      <c r="J12" s="12"/>
      <c r="K12" s="4"/>
      <c r="L12" s="4">
        <f t="shared" ref="L12:L13" si="0">+D12-H12</f>
        <v>-40770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121277</v>
      </c>
      <c r="U12" s="4"/>
      <c r="V12" s="12"/>
      <c r="W12" s="4"/>
      <c r="X12" s="4">
        <f t="shared" ref="X12:X13" si="2">+P12-T12</f>
        <v>-121277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40770</v>
      </c>
      <c r="I13" s="2"/>
      <c r="J13" s="22"/>
      <c r="K13" s="2"/>
      <c r="L13" s="2">
        <f t="shared" si="0"/>
        <v>-40770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121277</v>
      </c>
      <c r="U13" s="2"/>
      <c r="V13" s="22"/>
      <c r="W13" s="2"/>
      <c r="X13" s="2">
        <f t="shared" si="2"/>
        <v>-121277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19325</v>
      </c>
      <c r="I15" s="4"/>
      <c r="J15" s="12">
        <f t="shared" ref="J15:J17" si="5">IF(H$12=0,0,H15/H$12)</f>
        <v>0.47400049055678195</v>
      </c>
      <c r="K15" s="4"/>
      <c r="L15" s="4">
        <f t="shared" ref="L15:L17" si="6">+D15-H15</f>
        <v>-19325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57486</v>
      </c>
      <c r="U15" s="4"/>
      <c r="V15" s="12">
        <f t="shared" ref="V15:V17" si="9">IF(T$12=0,0,T15/T$12)</f>
        <v>0.47400578840175794</v>
      </c>
      <c r="W15" s="4"/>
      <c r="X15" s="4">
        <f t="shared" ref="X15:X17" si="10">+P15-T15</f>
        <v>-58099.59</v>
      </c>
      <c r="Y15" s="4"/>
      <c r="Z15" s="12">
        <f t="shared" ref="Z15:Z17" si="11">IF(T15=0,0,X15/T15)</f>
        <v>-1.0106737292558188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19325</v>
      </c>
      <c r="I16" s="2"/>
      <c r="J16" s="22">
        <f t="shared" si="5"/>
        <v>0.47400049055678195</v>
      </c>
      <c r="K16" s="2"/>
      <c r="L16" s="2">
        <f t="shared" si="6"/>
        <v>-19325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57486</v>
      </c>
      <c r="U16" s="2"/>
      <c r="V16" s="22">
        <f t="shared" si="9"/>
        <v>0.47400578840175794</v>
      </c>
      <c r="W16" s="2"/>
      <c r="X16" s="2">
        <f t="shared" si="10"/>
        <v>-57486</v>
      </c>
      <c r="Y16" s="2"/>
      <c r="Z16" s="22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19">
        <f>D12-D15</f>
        <v>0</v>
      </c>
      <c r="E19" s="13"/>
      <c r="F19" s="21">
        <f>IF(D$12=0,0,D19/D$12)</f>
        <v>0</v>
      </c>
      <c r="G19" s="13"/>
      <c r="H19" s="19">
        <f>H12-H15</f>
        <v>21445</v>
      </c>
      <c r="I19" s="13"/>
      <c r="J19" s="21">
        <f>IF(H$12=0,0,H19/H$12)</f>
        <v>0.52599950944321805</v>
      </c>
      <c r="K19" s="15"/>
      <c r="L19" s="19">
        <f>+D19-H19</f>
        <v>-21445</v>
      </c>
      <c r="M19" s="15"/>
      <c r="N19" s="21">
        <f>IF(H19=0,0,L19/H19)</f>
        <v>-1</v>
      </c>
      <c r="O19" s="26"/>
      <c r="P19" s="19">
        <f>P12-P15</f>
        <v>613.59</v>
      </c>
      <c r="Q19" s="13"/>
      <c r="R19" s="21">
        <f>IF(P$12=0,0,P19/P$12)</f>
        <v>0</v>
      </c>
      <c r="S19" s="13"/>
      <c r="T19" s="19">
        <f>T12-T15</f>
        <v>63791</v>
      </c>
      <c r="U19" s="13"/>
      <c r="V19" s="21">
        <f>IF(T$12=0,0,T19/T$12)</f>
        <v>0.525994211598242</v>
      </c>
      <c r="W19" s="15"/>
      <c r="X19" s="19">
        <f>+P19-T19</f>
        <v>-63177.41</v>
      </c>
      <c r="Y19" s="15"/>
      <c r="Z19" s="21">
        <f>IF(T19=0,0,X19/T19)</f>
        <v>-0.99038124500321367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162.61000000000001</v>
      </c>
      <c r="E21" s="20"/>
      <c r="F21" s="33">
        <f t="shared" ref="F21:F31" si="12">IF(D$12=0,0,D21/D$12)</f>
        <v>0</v>
      </c>
      <c r="G21" s="20"/>
      <c r="H21" s="20">
        <f>SUM(OSRRefH22x_0)</f>
        <v>21213.915866399999</v>
      </c>
      <c r="I21" s="20"/>
      <c r="J21" s="33">
        <f t="shared" ref="J21:J31" si="13">IF(H$12=0,0,H21/H$12)</f>
        <v>0.5203315149963208</v>
      </c>
      <c r="K21" s="4"/>
      <c r="L21" s="20">
        <f t="shared" ref="L21:L31" si="14">+D21-H21</f>
        <v>-21051.305866399998</v>
      </c>
      <c r="M21" s="4"/>
      <c r="N21" s="33">
        <f t="shared" ref="N21:N31" si="15">IF(H21=0,0,L21/H21)</f>
        <v>-0.99233474851960013</v>
      </c>
      <c r="O21" s="10"/>
      <c r="P21" s="20">
        <f>SUM(OSRRefP22x_0)</f>
        <v>46504.68</v>
      </c>
      <c r="Q21" s="20"/>
      <c r="R21" s="33">
        <f t="shared" ref="R21:R31" si="16">IF(P$12=0,0,P21/P$12)</f>
        <v>0</v>
      </c>
      <c r="S21" s="20"/>
      <c r="T21" s="20">
        <f>SUM(OSRRefT22x_0)</f>
        <v>126438.3923088</v>
      </c>
      <c r="U21" s="20"/>
      <c r="V21" s="33">
        <f t="shared" ref="V21:V31" si="17">IF(T$12=0,0,T21/T$12)</f>
        <v>1.0425587069996785</v>
      </c>
      <c r="W21" s="4"/>
      <c r="X21" s="20">
        <f t="shared" ref="X21:X31" si="18">+P21-T21</f>
        <v>-79933.712308799993</v>
      </c>
      <c r="Y21" s="4"/>
      <c r="Z21" s="33">
        <f t="shared" ref="Z21:Z31" si="19">IF(T21=0,0,X21/T21)</f>
        <v>-0.63219494371280993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3862.7758664000003</v>
      </c>
      <c r="I22" s="1"/>
      <c r="J22" s="5">
        <f t="shared" si="13"/>
        <v>9.474554492028453E-2</v>
      </c>
      <c r="K22" s="1"/>
      <c r="L22" s="1">
        <f t="shared" si="14"/>
        <v>-3862.7758664000003</v>
      </c>
      <c r="M22" s="1"/>
      <c r="N22" s="5">
        <f t="shared" si="15"/>
        <v>-1</v>
      </c>
      <c r="O22" s="14"/>
      <c r="P22" s="1">
        <f>SUM(OSRRefP22_0x_0)</f>
        <v>21787.579999999998</v>
      </c>
      <c r="Q22" s="1"/>
      <c r="R22" s="5">
        <f t="shared" si="16"/>
        <v>0</v>
      </c>
      <c r="S22" s="1"/>
      <c r="T22" s="1">
        <f>SUM(OSRRefT22_0x_0)</f>
        <v>30186.757308799999</v>
      </c>
      <c r="U22" s="1"/>
      <c r="V22" s="5">
        <f t="shared" si="17"/>
        <v>0.24890752004749456</v>
      </c>
      <c r="W22" s="1"/>
      <c r="X22" s="1">
        <f t="shared" si="18"/>
        <v>-8399.1773088000009</v>
      </c>
      <c r="Y22" s="1"/>
      <c r="Z22" s="5">
        <f t="shared" si="19"/>
        <v>-0.27824046229541471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650.66418239999996</v>
      </c>
      <c r="I23" s="2"/>
      <c r="J23" s="6">
        <f t="shared" si="13"/>
        <v>1.5959386372332598E-2</v>
      </c>
      <c r="K23" s="2"/>
      <c r="L23" s="7">
        <f t="shared" si="14"/>
        <v>-650.66418239999996</v>
      </c>
      <c r="M23" s="2"/>
      <c r="N23" s="6">
        <f t="shared" si="15"/>
        <v>-1</v>
      </c>
      <c r="O23" s="11"/>
      <c r="P23" s="7">
        <v>1924.35</v>
      </c>
      <c r="Q23" s="2"/>
      <c r="R23" s="6">
        <f t="shared" si="16"/>
        <v>0</v>
      </c>
      <c r="S23" s="2"/>
      <c r="T23" s="7">
        <v>4574.7919727999997</v>
      </c>
      <c r="U23" s="2"/>
      <c r="V23" s="6">
        <f t="shared" si="17"/>
        <v>3.7721843159049119E-2</v>
      </c>
      <c r="W23" s="2"/>
      <c r="X23" s="7">
        <f t="shared" si="18"/>
        <v>-2650.4419727999998</v>
      </c>
      <c r="Y23" s="2"/>
      <c r="Z23" s="6">
        <f t="shared" si="19"/>
        <v>-0.57935792240576955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263.15213999999997</v>
      </c>
      <c r="I24" s="2"/>
      <c r="J24" s="6">
        <f t="shared" si="13"/>
        <v>6.4545533480500359E-3</v>
      </c>
      <c r="K24" s="2"/>
      <c r="L24" s="7">
        <f t="shared" si="14"/>
        <v>-263.15213999999997</v>
      </c>
      <c r="M24" s="2"/>
      <c r="N24" s="6">
        <f t="shared" si="15"/>
        <v>-1</v>
      </c>
      <c r="O24" s="11"/>
      <c r="P24" s="7">
        <v>499.06</v>
      </c>
      <c r="Q24" s="2"/>
      <c r="R24" s="6">
        <f t="shared" si="16"/>
        <v>0</v>
      </c>
      <c r="S24" s="2"/>
      <c r="T24" s="7">
        <v>1532.97956</v>
      </c>
      <c r="U24" s="2"/>
      <c r="V24" s="6">
        <f t="shared" si="17"/>
        <v>1.2640315641053126E-2</v>
      </c>
      <c r="W24" s="2"/>
      <c r="X24" s="7">
        <f t="shared" si="18"/>
        <v>-1033.91956</v>
      </c>
      <c r="Y24" s="2"/>
      <c r="Z24" s="6">
        <f t="shared" si="19"/>
        <v>-0.67445097571946755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1980</v>
      </c>
      <c r="I25" s="2"/>
      <c r="J25" s="6">
        <f t="shared" si="13"/>
        <v>4.856512141280353E-2</v>
      </c>
      <c r="K25" s="2"/>
      <c r="L25" s="7">
        <f t="shared" si="14"/>
        <v>-1980</v>
      </c>
      <c r="M25" s="2"/>
      <c r="N25" s="6">
        <f t="shared" si="15"/>
        <v>-1</v>
      </c>
      <c r="O25" s="11"/>
      <c r="P25" s="7">
        <v>12083.19</v>
      </c>
      <c r="Q25" s="2"/>
      <c r="R25" s="6">
        <f t="shared" si="16"/>
        <v>0</v>
      </c>
      <c r="S25" s="2"/>
      <c r="T25" s="7">
        <v>15840</v>
      </c>
      <c r="U25" s="2"/>
      <c r="V25" s="6">
        <f t="shared" si="17"/>
        <v>0.13061009094881965</v>
      </c>
      <c r="W25" s="2"/>
      <c r="X25" s="7">
        <f t="shared" si="18"/>
        <v>-3756.8099999999995</v>
      </c>
      <c r="Y25" s="2"/>
      <c r="Z25" s="6">
        <f t="shared" si="19"/>
        <v>-0.23717234848484844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36.983544000000002</v>
      </c>
      <c r="I26" s="2"/>
      <c r="J26" s="6">
        <f t="shared" si="13"/>
        <v>9.0712641648270787E-4</v>
      </c>
      <c r="K26" s="2"/>
      <c r="L26" s="7">
        <f t="shared" si="14"/>
        <v>-36.983544000000002</v>
      </c>
      <c r="M26" s="2"/>
      <c r="N26" s="6">
        <f t="shared" si="15"/>
        <v>-1</v>
      </c>
      <c r="O26" s="11"/>
      <c r="P26" s="7">
        <v>70.14</v>
      </c>
      <c r="Q26" s="2"/>
      <c r="R26" s="6">
        <f t="shared" si="16"/>
        <v>0</v>
      </c>
      <c r="S26" s="2"/>
      <c r="T26" s="7">
        <v>215.445776</v>
      </c>
      <c r="U26" s="2"/>
      <c r="V26" s="6">
        <f t="shared" si="17"/>
        <v>1.7764767927966555E-3</v>
      </c>
      <c r="W26" s="2"/>
      <c r="X26" s="7">
        <f t="shared" si="18"/>
        <v>-145.30577599999998</v>
      </c>
      <c r="Y26" s="2"/>
      <c r="Z26" s="6">
        <f t="shared" si="19"/>
        <v>-0.67444244532322595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478.67599999999999</v>
      </c>
      <c r="I27" s="2"/>
      <c r="J27" s="6">
        <f t="shared" si="13"/>
        <v>1.1740887907775324E-2</v>
      </c>
      <c r="K27" s="2"/>
      <c r="L27" s="7">
        <f t="shared" si="14"/>
        <v>-478.67599999999999</v>
      </c>
      <c r="M27" s="2"/>
      <c r="N27" s="6">
        <f t="shared" si="15"/>
        <v>-1</v>
      </c>
      <c r="O27" s="11"/>
      <c r="P27" s="7">
        <v>3490.92</v>
      </c>
      <c r="Q27" s="2"/>
      <c r="R27" s="6">
        <f t="shared" si="16"/>
        <v>0</v>
      </c>
      <c r="S27" s="2"/>
      <c r="T27" s="7">
        <v>4188.415</v>
      </c>
      <c r="U27" s="2"/>
      <c r="V27" s="6">
        <f t="shared" si="17"/>
        <v>3.4535938388977297E-2</v>
      </c>
      <c r="W27" s="2"/>
      <c r="X27" s="7">
        <f t="shared" si="18"/>
        <v>-697.49499999999989</v>
      </c>
      <c r="Y27" s="2"/>
      <c r="Z27" s="6">
        <f t="shared" si="19"/>
        <v>-0.16652958219278652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166.98</v>
      </c>
      <c r="I29" s="2"/>
      <c r="J29" s="6">
        <f t="shared" si="13"/>
        <v>4.0956585724797644E-3</v>
      </c>
      <c r="K29" s="2"/>
      <c r="L29" s="7">
        <f t="shared" si="14"/>
        <v>-166.98</v>
      </c>
      <c r="M29" s="2"/>
      <c r="N29" s="6">
        <f t="shared" si="15"/>
        <v>-1</v>
      </c>
      <c r="O29" s="11"/>
      <c r="P29" s="7">
        <v>2035.3</v>
      </c>
      <c r="Q29" s="2"/>
      <c r="R29" s="6">
        <f t="shared" si="16"/>
        <v>0</v>
      </c>
      <c r="S29" s="2"/>
      <c r="T29" s="7">
        <v>1461.075</v>
      </c>
      <c r="U29" s="2"/>
      <c r="V29" s="6">
        <f t="shared" si="17"/>
        <v>1.2047420368247895E-2</v>
      </c>
      <c r="W29" s="2"/>
      <c r="X29" s="7">
        <f t="shared" si="18"/>
        <v>574.22499999999991</v>
      </c>
      <c r="Y29" s="2"/>
      <c r="Z29" s="6">
        <f t="shared" si="19"/>
        <v>0.39301541673083168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111.32</v>
      </c>
      <c r="I30" s="2"/>
      <c r="J30" s="6">
        <f t="shared" si="13"/>
        <v>2.7304390483198428E-3</v>
      </c>
      <c r="K30" s="2"/>
      <c r="L30" s="7">
        <f t="shared" si="14"/>
        <v>-111.32</v>
      </c>
      <c r="M30" s="2"/>
      <c r="N30" s="6">
        <f t="shared" si="15"/>
        <v>-1</v>
      </c>
      <c r="O30" s="11"/>
      <c r="P30" s="7">
        <v>1283.8</v>
      </c>
      <c r="Q30" s="2"/>
      <c r="R30" s="6">
        <f t="shared" si="16"/>
        <v>0</v>
      </c>
      <c r="S30" s="2"/>
      <c r="T30" s="7">
        <v>974.05</v>
      </c>
      <c r="U30" s="2"/>
      <c r="V30" s="6">
        <f t="shared" si="17"/>
        <v>8.0316135788319303E-3</v>
      </c>
      <c r="W30" s="2"/>
      <c r="X30" s="7">
        <f t="shared" si="18"/>
        <v>309.75</v>
      </c>
      <c r="Y30" s="2"/>
      <c r="Z30" s="6">
        <f t="shared" si="19"/>
        <v>0.31800215594682002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2"/>
        <v>0</v>
      </c>
      <c r="G31" s="2"/>
      <c r="H31" s="7">
        <v>175</v>
      </c>
      <c r="I31" s="2"/>
      <c r="J31" s="6">
        <f t="shared" si="13"/>
        <v>4.2923718420407164E-3</v>
      </c>
      <c r="K31" s="2"/>
      <c r="L31" s="7">
        <f t="shared" si="14"/>
        <v>-175</v>
      </c>
      <c r="M31" s="2"/>
      <c r="N31" s="6">
        <f t="shared" si="15"/>
        <v>-1</v>
      </c>
      <c r="O31" s="11"/>
      <c r="P31" s="7">
        <v>400.82</v>
      </c>
      <c r="Q31" s="2"/>
      <c r="R31" s="6">
        <f t="shared" si="16"/>
        <v>0</v>
      </c>
      <c r="S31" s="2"/>
      <c r="T31" s="7">
        <v>1400</v>
      </c>
      <c r="U31" s="2"/>
      <c r="V31" s="6">
        <f t="shared" si="17"/>
        <v>1.1543821169718908E-2</v>
      </c>
      <c r="W31" s="2"/>
      <c r="X31" s="7">
        <f t="shared" si="18"/>
        <v>-999.18000000000006</v>
      </c>
      <c r="Y31" s="2"/>
      <c r="Z31" s="6">
        <f t="shared" si="19"/>
        <v>-0.7137</v>
      </c>
    </row>
    <row r="32" spans="1:26" s="28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0">IF(D$12=0,0,D32/D$12)</f>
        <v>0</v>
      </c>
      <c r="G32" s="1"/>
      <c r="H32" s="1">
        <f>SUM(OSRRefH22_1x_0)</f>
        <v>13946.14</v>
      </c>
      <c r="I32" s="1"/>
      <c r="J32" s="5">
        <f t="shared" ref="J32:J42" si="21">IF(H$12=0,0,H32/H$12)</f>
        <v>0.34206867794947265</v>
      </c>
      <c r="K32" s="1"/>
      <c r="L32" s="1">
        <f t="shared" ref="L32:L42" si="22">+D32-H32</f>
        <v>-13946.14</v>
      </c>
      <c r="M32" s="1"/>
      <c r="N32" s="5">
        <f t="shared" ref="N32:N42" si="23">IF(H32=0,0,L32/H32)</f>
        <v>-1</v>
      </c>
      <c r="O32" s="14"/>
      <c r="P32" s="1">
        <f>SUM(OSRRefP22_1x_0)</f>
        <v>23136.42</v>
      </c>
      <c r="Q32" s="1"/>
      <c r="R32" s="5">
        <f t="shared" ref="R32:R42" si="24">IF(P$12=0,0,P32/P$12)</f>
        <v>0</v>
      </c>
      <c r="S32" s="1"/>
      <c r="T32" s="1">
        <f>SUM(OSRRefT22_1x_0)</f>
        <v>80428.635000000009</v>
      </c>
      <c r="U32" s="1"/>
      <c r="V32" s="5">
        <f t="shared" ref="V32:V42" si="25">IF(T$12=0,0,T32/T$12)</f>
        <v>0.66318127097471091</v>
      </c>
      <c r="W32" s="1"/>
      <c r="X32" s="1">
        <f t="shared" ref="X32:X42" si="26">+P32-T32</f>
        <v>-57292.215000000011</v>
      </c>
      <c r="Y32" s="1"/>
      <c r="Z32" s="5">
        <f t="shared" ref="Z32:Z42" si="27">IF(T32=0,0,X32/T32)</f>
        <v>-0.71233603554256519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0"/>
        <v>0</v>
      </c>
      <c r="G33" s="2"/>
      <c r="H33" s="7">
        <v>5287.7</v>
      </c>
      <c r="I33" s="2"/>
      <c r="J33" s="6">
        <f t="shared" si="21"/>
        <v>0.12969585479519255</v>
      </c>
      <c r="K33" s="2"/>
      <c r="L33" s="7">
        <f t="shared" si="22"/>
        <v>-5287.7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46267.375</v>
      </c>
      <c r="U33" s="2"/>
      <c r="V33" s="6">
        <f t="shared" si="25"/>
        <v>0.38150164499451666</v>
      </c>
      <c r="W33" s="2"/>
      <c r="X33" s="7">
        <f t="shared" si="26"/>
        <v>-46267.375</v>
      </c>
      <c r="Y33" s="2"/>
      <c r="Z33" s="6">
        <f t="shared" si="27"/>
        <v>-1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23136.42</v>
      </c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23136.42</v>
      </c>
      <c r="Y34" s="2"/>
      <c r="Z34" s="6">
        <f t="shared" si="27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0"/>
        <v>0</v>
      </c>
      <c r="G36" s="2"/>
      <c r="H36" s="7">
        <v>2936.08</v>
      </c>
      <c r="I36" s="2"/>
      <c r="J36" s="6">
        <f t="shared" si="21"/>
        <v>7.2015697817022314E-2</v>
      </c>
      <c r="K36" s="2"/>
      <c r="L36" s="7">
        <f t="shared" si="22"/>
        <v>-2936.08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11075.26</v>
      </c>
      <c r="U36" s="2"/>
      <c r="V36" s="6">
        <f t="shared" si="25"/>
        <v>9.1322014891529316E-2</v>
      </c>
      <c r="W36" s="2"/>
      <c r="X36" s="7">
        <f t="shared" si="26"/>
        <v>-11075.26</v>
      </c>
      <c r="Y36" s="2"/>
      <c r="Z36" s="6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2936.08</v>
      </c>
      <c r="I37" s="2"/>
      <c r="J37" s="6">
        <f t="shared" si="21"/>
        <v>7.2015697817022314E-2</v>
      </c>
      <c r="K37" s="2"/>
      <c r="L37" s="7">
        <f t="shared" si="22"/>
        <v>-2936.08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16899.259999999998</v>
      </c>
      <c r="U37" s="2"/>
      <c r="V37" s="6">
        <f t="shared" si="25"/>
        <v>0.13934431095755995</v>
      </c>
      <c r="W37" s="2"/>
      <c r="X37" s="7">
        <f t="shared" si="26"/>
        <v>-16899.259999999998</v>
      </c>
      <c r="Y37" s="2"/>
      <c r="Z37" s="6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2786.28</v>
      </c>
      <c r="I40" s="2"/>
      <c r="J40" s="6">
        <f t="shared" si="21"/>
        <v>6.8341427520235476E-2</v>
      </c>
      <c r="K40" s="2"/>
      <c r="L40" s="7">
        <f t="shared" si="22"/>
        <v>-2786.28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6186.74</v>
      </c>
      <c r="U40" s="2"/>
      <c r="V40" s="6">
        <f t="shared" si="25"/>
        <v>5.1013300131104826E-2</v>
      </c>
      <c r="W40" s="2"/>
      <c r="X40" s="7">
        <f t="shared" si="26"/>
        <v>-6186.74</v>
      </c>
      <c r="Y40" s="2"/>
      <c r="Z40" s="6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8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2.4527839097375523E-3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800</v>
      </c>
      <c r="U43" s="1"/>
      <c r="V43" s="5">
        <f t="shared" ref="V43:V53" si="33">IF(T$12=0,0,T43/T$12)</f>
        <v>6.5964692398393756E-3</v>
      </c>
      <c r="W43" s="1"/>
      <c r="X43" s="1">
        <f t="shared" ref="X43:X53" si="34">+P43-T43</f>
        <v>-800</v>
      </c>
      <c r="Y43" s="1"/>
      <c r="Z43" s="5">
        <f t="shared" ref="Z43:Z53" si="35">IF(T43=0,0,X43/T43)</f>
        <v>-1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8"/>
        <v>0</v>
      </c>
      <c r="G44" s="2"/>
      <c r="H44" s="7">
        <v>100</v>
      </c>
      <c r="I44" s="2"/>
      <c r="J44" s="6">
        <f t="shared" si="29"/>
        <v>2.4527839097375523E-3</v>
      </c>
      <c r="K44" s="2"/>
      <c r="L44" s="7">
        <f t="shared" si="30"/>
        <v>-100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800</v>
      </c>
      <c r="U44" s="2"/>
      <c r="V44" s="6">
        <f t="shared" si="33"/>
        <v>6.5964692398393756E-3</v>
      </c>
      <c r="W44" s="2"/>
      <c r="X44" s="7">
        <f t="shared" si="34"/>
        <v>-800</v>
      </c>
      <c r="Y44" s="2"/>
      <c r="Z44" s="6">
        <f t="shared" si="35"/>
        <v>-1</v>
      </c>
    </row>
    <row r="45" spans="1:26" s="28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2577</v>
      </c>
      <c r="I45" s="1"/>
      <c r="J45" s="5">
        <f t="shared" si="29"/>
        <v>6.3208241353936712E-2</v>
      </c>
      <c r="K45" s="1"/>
      <c r="L45" s="1">
        <f t="shared" si="30"/>
        <v>-2577</v>
      </c>
      <c r="M45" s="1"/>
      <c r="N45" s="5">
        <f t="shared" si="31"/>
        <v>-1</v>
      </c>
      <c r="O45" s="14"/>
      <c r="P45" s="1">
        <f>SUM(OSRRefP22_3x_0)</f>
        <v>240</v>
      </c>
      <c r="Q45" s="1"/>
      <c r="R45" s="5">
        <f t="shared" si="32"/>
        <v>0</v>
      </c>
      <c r="S45" s="1"/>
      <c r="T45" s="1">
        <f>SUM(OSRRefT22_3x_0)</f>
        <v>7564</v>
      </c>
      <c r="U45" s="1"/>
      <c r="V45" s="5">
        <f t="shared" si="33"/>
        <v>6.2369616662681301E-2</v>
      </c>
      <c r="W45" s="1"/>
      <c r="X45" s="1">
        <f t="shared" si="34"/>
        <v>-7324</v>
      </c>
      <c r="Y45" s="1"/>
      <c r="Z45" s="5">
        <f t="shared" si="35"/>
        <v>-0.96827075621364356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2577</v>
      </c>
      <c r="I46" s="2"/>
      <c r="J46" s="6">
        <f t="shared" si="29"/>
        <v>6.3208241353936712E-2</v>
      </c>
      <c r="K46" s="2"/>
      <c r="L46" s="7">
        <f t="shared" si="30"/>
        <v>-2577</v>
      </c>
      <c r="M46" s="2"/>
      <c r="N46" s="6">
        <f t="shared" si="31"/>
        <v>-1</v>
      </c>
      <c r="O46" s="11"/>
      <c r="P46" s="7">
        <v>240</v>
      </c>
      <c r="Q46" s="2"/>
      <c r="R46" s="6">
        <f t="shared" si="32"/>
        <v>0</v>
      </c>
      <c r="S46" s="2"/>
      <c r="T46" s="7">
        <v>7564</v>
      </c>
      <c r="U46" s="2"/>
      <c r="V46" s="6">
        <f t="shared" si="33"/>
        <v>6.2369616662681301E-2</v>
      </c>
      <c r="W46" s="2"/>
      <c r="X46" s="7">
        <f t="shared" si="34"/>
        <v>-7324</v>
      </c>
      <c r="Y46" s="2"/>
      <c r="Z46" s="6">
        <f t="shared" si="35"/>
        <v>-0.96827075621364356</v>
      </c>
    </row>
    <row r="47" spans="1:26" s="28" customFormat="1" outlineLevel="1" collapsed="1" x14ac:dyDescent="0.25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90.46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90.46</v>
      </c>
      <c r="M47" s="1"/>
      <c r="N47" s="5">
        <f t="shared" si="31"/>
        <v>0</v>
      </c>
      <c r="O47" s="14"/>
      <c r="P47" s="1">
        <f>SUM(OSRRefP22_4x_0)</f>
        <v>207.89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207.89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"6305", " - ", "FREIGHT OUT")</f>
        <v xml:space="preserve">          6305 - FREIGHT OUT</v>
      </c>
      <c r="C48" s="11"/>
      <c r="D48" s="7">
        <v>90.46</v>
      </c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90.46</v>
      </c>
      <c r="M48" s="2"/>
      <c r="N48" s="6">
        <f t="shared" si="31"/>
        <v>0</v>
      </c>
      <c r="O48" s="11"/>
      <c r="P48" s="7">
        <v>207.89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207.89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160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1.1131541842228946E-2</v>
      </c>
      <c r="W49" s="1"/>
      <c r="X49" s="1">
        <f t="shared" si="34"/>
        <v>-1190</v>
      </c>
      <c r="Y49" s="1"/>
      <c r="Z49" s="5">
        <f t="shared" si="35"/>
        <v>-0.88148148148148153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>
        <v>160</v>
      </c>
      <c r="Q50" s="2"/>
      <c r="R50" s="6">
        <f t="shared" si="32"/>
        <v>0</v>
      </c>
      <c r="S50" s="2"/>
      <c r="T50" s="7">
        <v>1350</v>
      </c>
      <c r="U50" s="2"/>
      <c r="V50" s="6">
        <f t="shared" si="33"/>
        <v>1.1131541842228946E-2</v>
      </c>
      <c r="W50" s="2"/>
      <c r="X50" s="7">
        <f t="shared" si="34"/>
        <v>-1190</v>
      </c>
      <c r="Y50" s="2"/>
      <c r="Z50" s="6">
        <f t="shared" si="35"/>
        <v>-0.88148148148148153</v>
      </c>
    </row>
    <row r="51" spans="1:26" s="28" customFormat="1" outlineLevel="1" collapsed="1" x14ac:dyDescent="0.25">
      <c r="A51" s="29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8.5847436840814321E-4</v>
      </c>
      <c r="K51" s="1"/>
      <c r="L51" s="1">
        <f t="shared" si="30"/>
        <v>-35</v>
      </c>
      <c r="M51" s="1"/>
      <c r="N51" s="5">
        <f t="shared" si="31"/>
        <v>-1</v>
      </c>
      <c r="O51" s="14"/>
      <c r="P51" s="1">
        <f>SUM(OSRRefP22_6x_0)</f>
        <v>48.24</v>
      </c>
      <c r="Q51" s="1"/>
      <c r="R51" s="5">
        <f t="shared" si="32"/>
        <v>0</v>
      </c>
      <c r="S51" s="1"/>
      <c r="T51" s="1">
        <f>SUM(OSRRefT22_6x_0)</f>
        <v>245</v>
      </c>
      <c r="U51" s="1"/>
      <c r="V51" s="5">
        <f t="shared" si="33"/>
        <v>2.0201687047008087E-3</v>
      </c>
      <c r="W51" s="1"/>
      <c r="X51" s="1">
        <f t="shared" si="34"/>
        <v>-196.76</v>
      </c>
      <c r="Y51" s="1"/>
      <c r="Z51" s="5">
        <f t="shared" si="35"/>
        <v>-0.80310204081632652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0</v>
      </c>
      <c r="M52" s="2"/>
      <c r="N52" s="6">
        <f t="shared" si="31"/>
        <v>0</v>
      </c>
      <c r="O52" s="11"/>
      <c r="P52" s="7">
        <v>48.24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48.24</v>
      </c>
      <c r="Y52" s="2"/>
      <c r="Z52" s="6">
        <f t="shared" si="35"/>
        <v>0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35</v>
      </c>
      <c r="I53" s="2"/>
      <c r="J53" s="6">
        <f t="shared" si="29"/>
        <v>8.5847436840814321E-4</v>
      </c>
      <c r="K53" s="2"/>
      <c r="L53" s="7">
        <f t="shared" si="30"/>
        <v>-35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245</v>
      </c>
      <c r="U53" s="2"/>
      <c r="V53" s="6">
        <f t="shared" si="33"/>
        <v>2.0201687047008087E-3</v>
      </c>
      <c r="W53" s="2"/>
      <c r="X53" s="7">
        <f t="shared" si="34"/>
        <v>-245</v>
      </c>
      <c r="Y53" s="2"/>
      <c r="Z53" s="6">
        <f t="shared" si="35"/>
        <v>-1</v>
      </c>
    </row>
    <row r="54" spans="1:26" s="28" customFormat="1" outlineLevel="1" collapsed="1" x14ac:dyDescent="0.25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3.9980377728722101E-3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1304</v>
      </c>
      <c r="U54" s="1"/>
      <c r="V54" s="5">
        <f t="shared" ref="V54:V59" si="41">IF(T$12=0,0,T54/T$12)</f>
        <v>1.0752244860938183E-2</v>
      </c>
      <c r="W54" s="1"/>
      <c r="X54" s="1">
        <f t="shared" ref="X54:X59" si="42">+P54-T54</f>
        <v>-1304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7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36"/>
        <v>0</v>
      </c>
      <c r="G55" s="2"/>
      <c r="H55" s="7">
        <v>163</v>
      </c>
      <c r="I55" s="2"/>
      <c r="J55" s="6">
        <f t="shared" si="37"/>
        <v>3.9980377728722101E-3</v>
      </c>
      <c r="K55" s="2"/>
      <c r="L55" s="7">
        <f t="shared" si="38"/>
        <v>-163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1304</v>
      </c>
      <c r="U55" s="2"/>
      <c r="V55" s="6">
        <f t="shared" si="41"/>
        <v>1.0752244860938183E-2</v>
      </c>
      <c r="W55" s="2"/>
      <c r="X55" s="7">
        <f t="shared" si="42"/>
        <v>-1304</v>
      </c>
      <c r="Y55" s="2"/>
      <c r="Z55" s="6">
        <f t="shared" si="43"/>
        <v>-1</v>
      </c>
    </row>
    <row r="56" spans="1:26" s="28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410</v>
      </c>
      <c r="I56" s="1"/>
      <c r="J56" s="5">
        <f t="shared" si="37"/>
        <v>1.0056414029923964E-2</v>
      </c>
      <c r="K56" s="1"/>
      <c r="L56" s="1">
        <f t="shared" si="38"/>
        <v>-410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3480</v>
      </c>
      <c r="U56" s="1"/>
      <c r="V56" s="5">
        <f t="shared" si="41"/>
        <v>2.8694641193301285E-2</v>
      </c>
      <c r="W56" s="1"/>
      <c r="X56" s="1">
        <f t="shared" si="42"/>
        <v>-3480</v>
      </c>
      <c r="Y56" s="1"/>
      <c r="Z56" s="5">
        <f t="shared" si="43"/>
        <v>-1</v>
      </c>
    </row>
    <row r="57" spans="1:26" s="24" customFormat="1" hidden="1" outlineLevel="2" x14ac:dyDescent="0.25">
      <c r="A57" s="27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7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36"/>
        <v>0</v>
      </c>
      <c r="G58" s="2"/>
      <c r="H58" s="7">
        <v>410</v>
      </c>
      <c r="I58" s="2"/>
      <c r="J58" s="6">
        <f t="shared" si="37"/>
        <v>1.0056414029923964E-2</v>
      </c>
      <c r="K58" s="2"/>
      <c r="L58" s="7">
        <f t="shared" si="38"/>
        <v>-410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3480</v>
      </c>
      <c r="U58" s="2"/>
      <c r="V58" s="6">
        <f t="shared" si="41"/>
        <v>2.8694641193301285E-2</v>
      </c>
      <c r="W58" s="2"/>
      <c r="X58" s="7">
        <f t="shared" si="42"/>
        <v>-3480</v>
      </c>
      <c r="Y58" s="2"/>
      <c r="Z58" s="6">
        <f t="shared" si="43"/>
        <v>-1</v>
      </c>
    </row>
    <row r="59" spans="1:26" s="24" customFormat="1" hidden="1" outlineLevel="2" x14ac:dyDescent="0.25">
      <c r="A59" s="27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0</v>
      </c>
      <c r="U59" s="2"/>
      <c r="V59" s="6">
        <f t="shared" si="41"/>
        <v>0</v>
      </c>
      <c r="W59" s="2"/>
      <c r="X59" s="7">
        <f t="shared" si="42"/>
        <v>0</v>
      </c>
      <c r="Y59" s="2"/>
      <c r="Z59" s="6">
        <f t="shared" si="43"/>
        <v>0</v>
      </c>
    </row>
    <row r="60" spans="1:26" s="28" customFormat="1" outlineLevel="1" collapsed="1" x14ac:dyDescent="0.25">
      <c r="A60" s="29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72.150000000000006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2.9433406916850625E-3</v>
      </c>
      <c r="K60" s="1"/>
      <c r="L60" s="1">
        <f t="shared" ref="L60:L62" si="46">+D60-H60</f>
        <v>-47.849999999999994</v>
      </c>
      <c r="M60" s="1"/>
      <c r="N60" s="5">
        <f t="shared" ref="N60:N62" si="47">IF(H60=0,0,L60/H60)</f>
        <v>-0.39874999999999994</v>
      </c>
      <c r="O60" s="14"/>
      <c r="P60" s="1">
        <f>SUM(OSRRefP22_9x_0)</f>
        <v>924.55</v>
      </c>
      <c r="Q60" s="1"/>
      <c r="R60" s="5">
        <f t="shared" ref="R60:R62" si="48">IF(P$12=0,0,P60/P$12)</f>
        <v>0</v>
      </c>
      <c r="S60" s="1"/>
      <c r="T60" s="1">
        <f>SUM(OSRRefT22_9x_0)</f>
        <v>960</v>
      </c>
      <c r="U60" s="1"/>
      <c r="V60" s="5">
        <f t="shared" ref="V60:V62" si="49">IF(T$12=0,0,T60/T$12)</f>
        <v>7.9157630878072503E-3</v>
      </c>
      <c r="W60" s="1"/>
      <c r="X60" s="1">
        <f t="shared" ref="X60:X62" si="50">+P60-T60</f>
        <v>-35.450000000000045</v>
      </c>
      <c r="Y60" s="1"/>
      <c r="Z60" s="5">
        <f t="shared" ref="Z60:Z62" si="51">IF(T60=0,0,X60/T60)</f>
        <v>-3.6927083333333381E-2</v>
      </c>
    </row>
    <row r="61" spans="1:26" s="24" customFormat="1" hidden="1" outlineLevel="2" x14ac:dyDescent="0.25">
      <c r="A61" s="27"/>
      <c r="B61" s="11" t="str">
        <f>CONCATENATE("          ", "6303", " - ", "DATA PHONE LINES")</f>
        <v xml:space="preserve">          6303 - DATA PHONE LINES</v>
      </c>
      <c r="C61" s="11"/>
      <c r="D61" s="7"/>
      <c r="E61" s="2"/>
      <c r="F61" s="6">
        <f t="shared" si="44"/>
        <v>0</v>
      </c>
      <c r="G61" s="2"/>
      <c r="H61" s="7">
        <v>120</v>
      </c>
      <c r="I61" s="2"/>
      <c r="J61" s="6">
        <f t="shared" si="45"/>
        <v>2.9433406916850625E-3</v>
      </c>
      <c r="K61" s="2"/>
      <c r="L61" s="7">
        <f t="shared" si="46"/>
        <v>-120</v>
      </c>
      <c r="M61" s="2"/>
      <c r="N61" s="6">
        <f t="shared" si="47"/>
        <v>-1</v>
      </c>
      <c r="O61" s="11"/>
      <c r="P61" s="7"/>
      <c r="Q61" s="2"/>
      <c r="R61" s="6">
        <f t="shared" si="48"/>
        <v>0</v>
      </c>
      <c r="S61" s="2"/>
      <c r="T61" s="7">
        <v>960</v>
      </c>
      <c r="U61" s="2"/>
      <c r="V61" s="6">
        <f t="shared" si="49"/>
        <v>7.9157630878072503E-3</v>
      </c>
      <c r="W61" s="2"/>
      <c r="X61" s="7">
        <f t="shared" si="50"/>
        <v>-960</v>
      </c>
      <c r="Y61" s="2"/>
      <c r="Z61" s="6">
        <f t="shared" si="51"/>
        <v>-1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7">
        <v>72.150000000000006</v>
      </c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72.150000000000006</v>
      </c>
      <c r="M62" s="2"/>
      <c r="N62" s="6">
        <f t="shared" si="47"/>
        <v>0</v>
      </c>
      <c r="O62" s="11"/>
      <c r="P62" s="7">
        <v>924.55</v>
      </c>
      <c r="Q62" s="2"/>
      <c r="R62" s="6">
        <f t="shared" si="48"/>
        <v>0</v>
      </c>
      <c r="S62" s="2"/>
      <c r="T62" s="7"/>
      <c r="U62" s="2"/>
      <c r="V62" s="6">
        <f t="shared" si="49"/>
        <v>0</v>
      </c>
      <c r="W62" s="2"/>
      <c r="X62" s="7">
        <f t="shared" si="50"/>
        <v>924.55</v>
      </c>
      <c r="Y62" s="2"/>
      <c r="Z62" s="6">
        <f t="shared" si="51"/>
        <v>0</v>
      </c>
    </row>
    <row r="63" spans="1:26" s="28" customFormat="1" outlineLevel="1" collapsed="1" x14ac:dyDescent="0.25">
      <c r="A63" s="29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0</v>
      </c>
      <c r="Q63" s="1"/>
      <c r="R63" s="5">
        <f t="shared" ref="R63:R66" si="56">IF(P$12=0,0,P63/P$12)</f>
        <v>0</v>
      </c>
      <c r="S63" s="1"/>
      <c r="T63" s="1">
        <f>SUM(OSRRefT22_10x_0)</f>
        <v>120</v>
      </c>
      <c r="U63" s="1"/>
      <c r="V63" s="5">
        <f t="shared" ref="V63:V66" si="57">IF(T$12=0,0,T63/T$12)</f>
        <v>9.8947038597590629E-4</v>
      </c>
      <c r="W63" s="1"/>
      <c r="X63" s="1">
        <f t="shared" ref="X63:X66" si="58">+P63-T63</f>
        <v>-120</v>
      </c>
      <c r="Y63" s="1"/>
      <c r="Z63" s="5">
        <f t="shared" ref="Z63:Z66" si="59">IF(T63=0,0,X63/T63)</f>
        <v>-1</v>
      </c>
    </row>
    <row r="64" spans="1:26" s="24" customFormat="1" hidden="1" outlineLevel="2" x14ac:dyDescent="0.25">
      <c r="A64" s="27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/>
      <c r="Q64" s="2"/>
      <c r="R64" s="6">
        <f t="shared" si="56"/>
        <v>0</v>
      </c>
      <c r="S64" s="2"/>
      <c r="T64" s="7">
        <v>120</v>
      </c>
      <c r="U64" s="2"/>
      <c r="V64" s="6">
        <f t="shared" si="57"/>
        <v>9.8947038597590629E-4</v>
      </c>
      <c r="W64" s="2"/>
      <c r="X64" s="7">
        <f t="shared" si="58"/>
        <v>-120</v>
      </c>
      <c r="Y64" s="2"/>
      <c r="Z64" s="6">
        <f t="shared" si="59"/>
        <v>-1</v>
      </c>
    </row>
    <row r="65" spans="1:26" s="28" customFormat="1" outlineLevel="1" collapsed="1" x14ac:dyDescent="0.25">
      <c r="A65" s="29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25">
      <c r="A66" s="27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19">
        <f>+D19-D21+D68</f>
        <v>-162.61000000000001</v>
      </c>
      <c r="E70" s="13"/>
      <c r="F70" s="21">
        <f>IF(D$12=0,0,D70/D$12)</f>
        <v>0</v>
      </c>
      <c r="G70" s="13"/>
      <c r="H70" s="19">
        <f>+H19-H21+H68</f>
        <v>231.08413360000122</v>
      </c>
      <c r="I70" s="13"/>
      <c r="J70" s="21">
        <f>IF(H$12=0,0,H70/H$12)</f>
        <v>5.6679944468972588E-3</v>
      </c>
      <c r="K70" s="15"/>
      <c r="L70" s="19">
        <f>+D70-H70</f>
        <v>-393.69413360000124</v>
      </c>
      <c r="M70" s="15"/>
      <c r="N70" s="21">
        <f>IF(H70=0,0,L70/H70)</f>
        <v>-1.7036831021963299</v>
      </c>
      <c r="O70" s="26"/>
      <c r="P70" s="19">
        <f>+P19-P21+P68</f>
        <v>-45891.090000000004</v>
      </c>
      <c r="Q70" s="13"/>
      <c r="R70" s="21">
        <f>IF(P$12=0,0,P70/P$12)</f>
        <v>0</v>
      </c>
      <c r="S70" s="13"/>
      <c r="T70" s="19">
        <f>+T19-T21+T68</f>
        <v>-62647.392308800001</v>
      </c>
      <c r="U70" s="13"/>
      <c r="V70" s="21">
        <f>IF(T$12=0,0,T70/T$12)</f>
        <v>-0.51656449540143634</v>
      </c>
      <c r="W70" s="15"/>
      <c r="X70" s="19">
        <f>+P70-T70</f>
        <v>16756.302308799997</v>
      </c>
      <c r="Y70" s="15"/>
      <c r="Z70" s="21">
        <f>IF(T70=0,0,X70/T70)</f>
        <v>-0.2674700684460295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>
        <v>6886</v>
      </c>
      <c r="I72" s="4"/>
      <c r="J72" s="12">
        <f>IF(H$12=0,0,H72/H$12)</f>
        <v>0.16889870002452784</v>
      </c>
      <c r="K72" s="4"/>
      <c r="L72" s="4">
        <f>+D72-H72</f>
        <v>-6886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20858</v>
      </c>
      <c r="U72" s="4"/>
      <c r="V72" s="12">
        <f>IF(T$12=0,0,T72/T$12)</f>
        <v>0.17198644425571213</v>
      </c>
      <c r="W72" s="4"/>
      <c r="X72" s="4">
        <f>+P72-T72</f>
        <v>-20858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4">
        <f>+D70-D72</f>
        <v>-162.61000000000001</v>
      </c>
      <c r="E74" s="13"/>
      <c r="F74" s="30">
        <f>IF(D$12=0,0,D74/D$12)</f>
        <v>0</v>
      </c>
      <c r="G74" s="13"/>
      <c r="H74" s="34">
        <f>+H70-H72</f>
        <v>-6654.9158663999988</v>
      </c>
      <c r="I74" s="13"/>
      <c r="J74" s="30">
        <f>IF(H$12=0,0,H74/H$12)</f>
        <v>-0.16323070557763059</v>
      </c>
      <c r="K74" s="15"/>
      <c r="L74" s="34">
        <f>D74-H74</f>
        <v>6492.3058663999991</v>
      </c>
      <c r="M74" s="15"/>
      <c r="N74" s="30">
        <f>IF(H74=0,0,L74/H74)</f>
        <v>-0.97556543113925731</v>
      </c>
      <c r="O74" s="26"/>
      <c r="P74" s="34">
        <f>+P70-P72</f>
        <v>-45891.090000000004</v>
      </c>
      <c r="Q74" s="13"/>
      <c r="R74" s="30">
        <f>IF(P$12=0,0,P74/P$12)</f>
        <v>0</v>
      </c>
      <c r="S74" s="13"/>
      <c r="T74" s="34">
        <f>+T70-T72</f>
        <v>-83505.392308800001</v>
      </c>
      <c r="U74" s="13"/>
      <c r="V74" s="30">
        <f>IF(T$12=0,0,T74/T$12)</f>
        <v>-0.68855093965714853</v>
      </c>
      <c r="W74" s="15"/>
      <c r="X74" s="34">
        <f>P74-T74</f>
        <v>37614.302308799997</v>
      </c>
      <c r="Y74" s="15"/>
      <c r="Z74" s="30">
        <f>IF(T74=0,0,X74/T74)</f>
        <v>-0.45044159746838419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5">
        <f>SUM(D74:D76)</f>
        <v>-162.61000000000001</v>
      </c>
      <c r="E77" s="13"/>
      <c r="F77" s="31">
        <f>IF(D$12=0,0,D77/D$12)</f>
        <v>0</v>
      </c>
      <c r="G77" s="13"/>
      <c r="H77" s="35">
        <f>SUM(H74:H76)</f>
        <v>-6654.9158663999988</v>
      </c>
      <c r="I77" s="13"/>
      <c r="J77" s="31">
        <f>IF(H$12=0,0,H77/H$12)</f>
        <v>-0.16323070557763059</v>
      </c>
      <c r="K77" s="15"/>
      <c r="L77" s="35">
        <f>+D77-H77</f>
        <v>6492.3058663999991</v>
      </c>
      <c r="M77" s="15"/>
      <c r="N77" s="31">
        <f>IF(H77=0,0,L77/H77)</f>
        <v>-0.97556543113925731</v>
      </c>
      <c r="O77" s="26"/>
      <c r="P77" s="35">
        <f>SUM(P74:P76)</f>
        <v>-45891.090000000004</v>
      </c>
      <c r="Q77" s="13"/>
      <c r="R77" s="31">
        <f>IF(P$12=0,0,P77/P$12)</f>
        <v>0</v>
      </c>
      <c r="S77" s="13"/>
      <c r="T77" s="35">
        <f>SUM(T74:T76)</f>
        <v>-83505.392308800001</v>
      </c>
      <c r="U77" s="13"/>
      <c r="V77" s="31">
        <f>IF(T$12=0,0,T77/T$12)</f>
        <v>-0.68855093965714853</v>
      </c>
      <c r="W77" s="15"/>
      <c r="X77" s="35">
        <f>+P77-T77</f>
        <v>37614.302308799997</v>
      </c>
      <c r="Y77" s="15"/>
      <c r="Z77" s="31">
        <f>IF(T77=0,0,X77/T77)</f>
        <v>-0.45044159746838419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3">
        <v>44267.671816585651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2" t="s">
        <v>314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7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24016</v>
      </c>
      <c r="I12" s="4"/>
      <c r="J12" s="12"/>
      <c r="K12" s="4"/>
      <c r="L12" s="4">
        <f t="shared" ref="L12:L15" si="0">+D12-H12</f>
        <v>-24016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69120</v>
      </c>
      <c r="U12" s="4"/>
      <c r="V12" s="12"/>
      <c r="W12" s="4"/>
      <c r="X12" s="4">
        <f t="shared" ref="X12:X15" si="2">+P12-T12</f>
        <v>-66643.53</v>
      </c>
      <c r="Y12" s="4"/>
      <c r="Z12" s="12">
        <f t="shared" ref="Z12:Z15" si="3">IF(T12=0,0,X12/T12)</f>
        <v>-0.96417144097222218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24016</v>
      </c>
      <c r="I14" s="2"/>
      <c r="J14" s="22"/>
      <c r="K14" s="2"/>
      <c r="L14" s="2">
        <f t="shared" si="0"/>
        <v>-24016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69120</v>
      </c>
      <c r="U14" s="2"/>
      <c r="V14" s="22"/>
      <c r="W14" s="2"/>
      <c r="X14" s="2">
        <f t="shared" si="2"/>
        <v>-69120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19579</v>
      </c>
      <c r="E17" s="4"/>
      <c r="F17" s="12">
        <f t="shared" ref="F17:F20" si="5">IF(D$12=0,0,D17/D$12)</f>
        <v>0</v>
      </c>
      <c r="G17" s="4"/>
      <c r="H17" s="4">
        <f>SUM(OSRRefH16x_0)</f>
        <v>12488</v>
      </c>
      <c r="I17" s="4"/>
      <c r="J17" s="12">
        <f t="shared" ref="J17:J20" si="6">IF(H$12=0,0,H17/H$12)</f>
        <v>0.51998667554963363</v>
      </c>
      <c r="K17" s="4"/>
      <c r="L17" s="4">
        <f t="shared" ref="L17:L20" si="7">+D17-H17</f>
        <v>7091</v>
      </c>
      <c r="M17" s="4"/>
      <c r="N17" s="12">
        <f t="shared" ref="N17:N20" si="8">IF(H17=0,0,L17/H17)</f>
        <v>0.56782511210762332</v>
      </c>
      <c r="O17" s="10"/>
      <c r="P17" s="4">
        <f>SUM(OSRRefP16x_0)</f>
        <v>19579.73</v>
      </c>
      <c r="Q17" s="4"/>
      <c r="R17" s="12">
        <f t="shared" ref="R17:R20" si="9">IF(P$12=0,0,P17/P$12)</f>
        <v>7.9063061535169004</v>
      </c>
      <c r="S17" s="4"/>
      <c r="T17" s="4">
        <f>SUM(OSRRefT16x_0)</f>
        <v>36357</v>
      </c>
      <c r="U17" s="4"/>
      <c r="V17" s="12">
        <f t="shared" ref="V17:V20" si="10">IF(T$12=0,0,T17/T$12)</f>
        <v>0.52599826388888893</v>
      </c>
      <c r="W17" s="4"/>
      <c r="X17" s="4">
        <f t="shared" ref="X17:X20" si="11">+P17-T17</f>
        <v>-16777.27</v>
      </c>
      <c r="Y17" s="4"/>
      <c r="Z17" s="12">
        <f t="shared" ref="Z17:Z20" si="12">IF(T17=0,0,X17/T17)</f>
        <v>-0.46145914129328602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12488</v>
      </c>
      <c r="I18" s="2"/>
      <c r="J18" s="22">
        <f t="shared" si="6"/>
        <v>0.51998667554963363</v>
      </c>
      <c r="K18" s="2"/>
      <c r="L18" s="2">
        <f t="shared" si="7"/>
        <v>-12488</v>
      </c>
      <c r="M18" s="2"/>
      <c r="N18" s="22">
        <f t="shared" si="8"/>
        <v>-1</v>
      </c>
      <c r="O18" s="11"/>
      <c r="P18" s="2"/>
      <c r="Q18" s="2"/>
      <c r="R18" s="22">
        <f t="shared" si="9"/>
        <v>0</v>
      </c>
      <c r="S18" s="2"/>
      <c r="T18" s="2">
        <v>36357</v>
      </c>
      <c r="U18" s="2"/>
      <c r="V18" s="22">
        <f t="shared" si="10"/>
        <v>0.52599826388888893</v>
      </c>
      <c r="W18" s="2"/>
      <c r="X18" s="2">
        <f t="shared" si="11"/>
        <v>-36357</v>
      </c>
      <c r="Y18" s="2"/>
      <c r="Z18" s="22">
        <f t="shared" si="12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0</v>
      </c>
      <c r="M19" s="2"/>
      <c r="N19" s="22">
        <f t="shared" si="8"/>
        <v>0</v>
      </c>
      <c r="O19" s="11"/>
      <c r="P19" s="2">
        <v>0.73</v>
      </c>
      <c r="Q19" s="2"/>
      <c r="R19" s="22">
        <f t="shared" si="9"/>
        <v>2.9477441681102534E-4</v>
      </c>
      <c r="S19" s="2"/>
      <c r="T19" s="2"/>
      <c r="U19" s="2"/>
      <c r="V19" s="22">
        <f t="shared" si="10"/>
        <v>0</v>
      </c>
      <c r="W19" s="2"/>
      <c r="X19" s="2">
        <f t="shared" si="11"/>
        <v>0.73</v>
      </c>
      <c r="Y19" s="2"/>
      <c r="Z19" s="22">
        <f t="shared" si="12"/>
        <v>0</v>
      </c>
    </row>
    <row r="20" spans="1:26" s="24" customFormat="1" hidden="1" outlineLevel="1" x14ac:dyDescent="0.25">
      <c r="A20" s="51"/>
      <c r="B20" s="11" t="str">
        <f>CONCATENATE("          ", "5059", " - ", "PURCHASES @ COST-FOOD")</f>
        <v xml:space="preserve">          5059 - PURCHASES @ COST-FOOD</v>
      </c>
      <c r="C20" s="11"/>
      <c r="D20" s="2">
        <v>19579</v>
      </c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19579</v>
      </c>
      <c r="M20" s="2"/>
      <c r="N20" s="22">
        <f t="shared" si="8"/>
        <v>0</v>
      </c>
      <c r="O20" s="11"/>
      <c r="P20" s="2">
        <v>19579</v>
      </c>
      <c r="Q20" s="2"/>
      <c r="R20" s="22">
        <f t="shared" si="9"/>
        <v>7.9060113791000894</v>
      </c>
      <c r="S20" s="2"/>
      <c r="T20" s="2"/>
      <c r="U20" s="2"/>
      <c r="V20" s="22">
        <f t="shared" si="10"/>
        <v>0</v>
      </c>
      <c r="W20" s="2"/>
      <c r="X20" s="2">
        <f t="shared" si="11"/>
        <v>19579</v>
      </c>
      <c r="Y20" s="2"/>
      <c r="Z20" s="22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6</v>
      </c>
      <c r="C22" s="25"/>
      <c r="D22" s="19">
        <f>D12-D17</f>
        <v>-19579</v>
      </c>
      <c r="E22" s="13"/>
      <c r="F22" s="21">
        <f>IF(D$12=0,0,D22/D$12)</f>
        <v>0</v>
      </c>
      <c r="G22" s="13"/>
      <c r="H22" s="19">
        <f>H12-H17</f>
        <v>11528</v>
      </c>
      <c r="I22" s="13"/>
      <c r="J22" s="21">
        <f>IF(H$12=0,0,H22/H$12)</f>
        <v>0.48001332445036643</v>
      </c>
      <c r="K22" s="15"/>
      <c r="L22" s="19">
        <f>+D22-H22</f>
        <v>-31107</v>
      </c>
      <c r="M22" s="15"/>
      <c r="N22" s="21">
        <f>IF(H22=0,0,L22/H22)</f>
        <v>-2.6983865371269951</v>
      </c>
      <c r="O22" s="26"/>
      <c r="P22" s="19">
        <f>P12-P17</f>
        <v>-17103.259999999998</v>
      </c>
      <c r="Q22" s="13"/>
      <c r="R22" s="21">
        <f>IF(P$12=0,0,P22/P$12)</f>
        <v>-6.9063061535168995</v>
      </c>
      <c r="S22" s="13"/>
      <c r="T22" s="19">
        <f>T12-T17</f>
        <v>32763</v>
      </c>
      <c r="U22" s="13"/>
      <c r="V22" s="21">
        <f>IF(T$12=0,0,T22/T$12)</f>
        <v>0.47400173611111113</v>
      </c>
      <c r="W22" s="15"/>
      <c r="X22" s="19">
        <f>+P22-T22</f>
        <v>-49866.259999999995</v>
      </c>
      <c r="Y22" s="15"/>
      <c r="Z22" s="21">
        <f>IF(T22=0,0,X22/T22)</f>
        <v>-1.5220297286573268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9</v>
      </c>
      <c r="C24" s="10"/>
      <c r="D24" s="20">
        <f>SUM(OSRRefD22x_0)</f>
        <v>1401.82</v>
      </c>
      <c r="E24" s="20"/>
      <c r="F24" s="33">
        <f t="shared" ref="F24:F34" si="13">IF(D$12=0,0,D24/D$12)</f>
        <v>0</v>
      </c>
      <c r="G24" s="20"/>
      <c r="H24" s="20">
        <f>SUM(OSRRefH22x_0)</f>
        <v>14195.686522</v>
      </c>
      <c r="I24" s="20"/>
      <c r="J24" s="33">
        <f t="shared" ref="J24:J34" si="14">IF(H$12=0,0,H24/H$12)</f>
        <v>0.59109287649900066</v>
      </c>
      <c r="K24" s="4"/>
      <c r="L24" s="20">
        <f t="shared" ref="L24:L34" si="15">+D24-H24</f>
        <v>-12793.866522</v>
      </c>
      <c r="M24" s="4"/>
      <c r="N24" s="33">
        <f t="shared" ref="N24:N34" si="16">IF(H24=0,0,L24/H24)</f>
        <v>-0.90125028487861392</v>
      </c>
      <c r="O24" s="10"/>
      <c r="P24" s="20">
        <f>SUM(OSRRefP22x_0)</f>
        <v>37559.439999999988</v>
      </c>
      <c r="Q24" s="20"/>
      <c r="R24" s="33">
        <f t="shared" ref="R24:R34" si="17">IF(P$12=0,0,P24/P$12)</f>
        <v>15.166523317463964</v>
      </c>
      <c r="S24" s="20"/>
      <c r="T24" s="20">
        <f>SUM(OSRRefT22x_0)</f>
        <v>67204.527113299991</v>
      </c>
      <c r="U24" s="20"/>
      <c r="V24" s="33">
        <f t="shared" ref="V24:V34" si="18">IF(T$12=0,0,T24/T$12)</f>
        <v>0.97228771865306696</v>
      </c>
      <c r="W24" s="4"/>
      <c r="X24" s="20">
        <f t="shared" ref="X24:X34" si="19">+P24-T24</f>
        <v>-29645.087113300004</v>
      </c>
      <c r="Y24" s="4"/>
      <c r="Z24" s="33">
        <f t="shared" ref="Z24:Z34" si="20">IF(T24=0,0,X24/T24)</f>
        <v>-0.44111741257134962</v>
      </c>
    </row>
    <row r="25" spans="1:26" s="28" customFormat="1" outlineLevel="1" collapsed="1" x14ac:dyDescent="0.25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599.88652200000001</v>
      </c>
      <c r="I25" s="1"/>
      <c r="J25" s="5">
        <f t="shared" si="14"/>
        <v>2.4978619337108595E-2</v>
      </c>
      <c r="K25" s="1"/>
      <c r="L25" s="1">
        <f t="shared" si="15"/>
        <v>-599.88652200000001</v>
      </c>
      <c r="M25" s="1"/>
      <c r="N25" s="5">
        <f t="shared" si="16"/>
        <v>-1</v>
      </c>
      <c r="O25" s="14"/>
      <c r="P25" s="1">
        <f>SUM(OSRRefP22_0x_0)</f>
        <v>8751.99</v>
      </c>
      <c r="Q25" s="1"/>
      <c r="R25" s="5">
        <f t="shared" si="17"/>
        <v>3.5340585591588023</v>
      </c>
      <c r="S25" s="1"/>
      <c r="T25" s="1">
        <f>SUM(OSRRefT22_0x_0)</f>
        <v>3061.6371133000002</v>
      </c>
      <c r="U25" s="1"/>
      <c r="V25" s="5">
        <f t="shared" si="18"/>
        <v>4.4294518421585653E-2</v>
      </c>
      <c r="W25" s="1"/>
      <c r="X25" s="1">
        <f t="shared" si="19"/>
        <v>5690.3528866999995</v>
      </c>
      <c r="Y25" s="1"/>
      <c r="Z25" s="5">
        <f t="shared" si="20"/>
        <v>1.8585980885783768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7"/>
      <c r="E26" s="2"/>
      <c r="F26" s="6">
        <f t="shared" si="13"/>
        <v>0</v>
      </c>
      <c r="G26" s="2"/>
      <c r="H26" s="7">
        <v>209.799342</v>
      </c>
      <c r="I26" s="2"/>
      <c r="J26" s="6">
        <f t="shared" si="14"/>
        <v>8.7358153730846093E-3</v>
      </c>
      <c r="K26" s="2"/>
      <c r="L26" s="7">
        <f t="shared" si="15"/>
        <v>-209.799342</v>
      </c>
      <c r="M26" s="2"/>
      <c r="N26" s="6">
        <f t="shared" si="16"/>
        <v>-1</v>
      </c>
      <c r="O26" s="11"/>
      <c r="P26" s="7">
        <v>1667.09</v>
      </c>
      <c r="Q26" s="2"/>
      <c r="R26" s="6">
        <f t="shared" si="17"/>
        <v>0.67317189386505782</v>
      </c>
      <c r="S26" s="2"/>
      <c r="T26" s="7">
        <v>1278.6104343</v>
      </c>
      <c r="U26" s="2"/>
      <c r="V26" s="6">
        <f t="shared" si="18"/>
        <v>1.8498414848090276E-2</v>
      </c>
      <c r="W26" s="2"/>
      <c r="X26" s="7">
        <f t="shared" si="19"/>
        <v>388.47956569999997</v>
      </c>
      <c r="Y26" s="2"/>
      <c r="Z26" s="6">
        <f t="shared" si="20"/>
        <v>0.30382949745962351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141.2253</v>
      </c>
      <c r="I27" s="2"/>
      <c r="J27" s="6">
        <f t="shared" si="14"/>
        <v>5.8804671885409731E-3</v>
      </c>
      <c r="K27" s="2"/>
      <c r="L27" s="7">
        <f t="shared" si="15"/>
        <v>-141.2253</v>
      </c>
      <c r="M27" s="2"/>
      <c r="N27" s="6">
        <f t="shared" si="16"/>
        <v>-1</v>
      </c>
      <c r="O27" s="11"/>
      <c r="P27" s="7">
        <v>331.61</v>
      </c>
      <c r="Q27" s="2"/>
      <c r="R27" s="6">
        <f t="shared" si="17"/>
        <v>0.13390430734069056</v>
      </c>
      <c r="S27" s="2"/>
      <c r="T27" s="7">
        <v>645.51846499999999</v>
      </c>
      <c r="U27" s="2"/>
      <c r="V27" s="6">
        <f t="shared" si="18"/>
        <v>9.3390981626157409E-3</v>
      </c>
      <c r="W27" s="2"/>
      <c r="X27" s="7">
        <f t="shared" si="19"/>
        <v>-313.90846499999998</v>
      </c>
      <c r="Y27" s="2"/>
      <c r="Z27" s="6">
        <f t="shared" si="20"/>
        <v>-0.4862889011238431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3385.22</v>
      </c>
      <c r="Q28" s="2"/>
      <c r="R28" s="6">
        <f t="shared" si="17"/>
        <v>1.366953768872629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3385.22</v>
      </c>
      <c r="Y28" s="2"/>
      <c r="Z28" s="6">
        <f t="shared" si="20"/>
        <v>0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19.84788</v>
      </c>
      <c r="I29" s="2"/>
      <c r="J29" s="6">
        <f t="shared" si="14"/>
        <v>8.2644403730846097E-4</v>
      </c>
      <c r="K29" s="2"/>
      <c r="L29" s="7">
        <f t="shared" si="15"/>
        <v>-19.84788</v>
      </c>
      <c r="M29" s="2"/>
      <c r="N29" s="6">
        <f t="shared" si="16"/>
        <v>-1</v>
      </c>
      <c r="O29" s="11"/>
      <c r="P29" s="7">
        <v>62.01</v>
      </c>
      <c r="Q29" s="2"/>
      <c r="R29" s="6">
        <f t="shared" si="17"/>
        <v>2.5039673406098192E-2</v>
      </c>
      <c r="S29" s="2"/>
      <c r="T29" s="7">
        <v>90.721513999999999</v>
      </c>
      <c r="U29" s="2"/>
      <c r="V29" s="6">
        <f t="shared" si="18"/>
        <v>1.3125219039351853E-3</v>
      </c>
      <c r="W29" s="2"/>
      <c r="X29" s="7">
        <f t="shared" si="19"/>
        <v>-28.711514000000001</v>
      </c>
      <c r="Y29" s="2"/>
      <c r="Z29" s="6">
        <f t="shared" si="20"/>
        <v>-0.31647966104269382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1254.1099999999999</v>
      </c>
      <c r="Q30" s="2"/>
      <c r="R30" s="6">
        <f t="shared" si="17"/>
        <v>0.50641033406421232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1254.1099999999999</v>
      </c>
      <c r="Y30" s="2"/>
      <c r="Z30" s="6">
        <f t="shared" si="20"/>
        <v>0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>
        <v>958.88</v>
      </c>
      <c r="Q32" s="2"/>
      <c r="R32" s="6">
        <f t="shared" si="17"/>
        <v>0.38719629149555612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958.88</v>
      </c>
      <c r="Y32" s="2"/>
      <c r="Z32" s="6">
        <f t="shared" si="20"/>
        <v>0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229.01400000000001</v>
      </c>
      <c r="I33" s="2"/>
      <c r="J33" s="6">
        <f t="shared" si="14"/>
        <v>9.5358927381745499E-3</v>
      </c>
      <c r="K33" s="2"/>
      <c r="L33" s="7">
        <f t="shared" si="15"/>
        <v>-229.01400000000001</v>
      </c>
      <c r="M33" s="2"/>
      <c r="N33" s="6">
        <f t="shared" si="16"/>
        <v>-1</v>
      </c>
      <c r="O33" s="11"/>
      <c r="P33" s="7">
        <v>767.52</v>
      </c>
      <c r="Q33" s="2"/>
      <c r="R33" s="6">
        <f t="shared" si="17"/>
        <v>0.30992501423397006</v>
      </c>
      <c r="S33" s="2"/>
      <c r="T33" s="7">
        <v>1046.7867000000001</v>
      </c>
      <c r="U33" s="2"/>
      <c r="V33" s="6">
        <f t="shared" si="18"/>
        <v>1.5144483506944447E-2</v>
      </c>
      <c r="W33" s="2"/>
      <c r="X33" s="7">
        <f t="shared" si="19"/>
        <v>-279.26670000000013</v>
      </c>
      <c r="Y33" s="2"/>
      <c r="Z33" s="6">
        <f t="shared" si="20"/>
        <v>-0.2667847231914583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3"/>
        <v>0</v>
      </c>
      <c r="G34" s="2"/>
      <c r="H34" s="7"/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>
        <v>325.55</v>
      </c>
      <c r="Q34" s="2"/>
      <c r="R34" s="6">
        <f t="shared" si="17"/>
        <v>0.13145727588058809</v>
      </c>
      <c r="S34" s="2"/>
      <c r="T34" s="7"/>
      <c r="U34" s="2"/>
      <c r="V34" s="6">
        <f t="shared" si="18"/>
        <v>0</v>
      </c>
      <c r="W34" s="2"/>
      <c r="X34" s="7">
        <f t="shared" si="19"/>
        <v>325.55</v>
      </c>
      <c r="Y34" s="2"/>
      <c r="Z34" s="6">
        <f t="shared" si="20"/>
        <v>0</v>
      </c>
    </row>
    <row r="35" spans="1:26" s="28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7633.8</v>
      </c>
      <c r="I35" s="1"/>
      <c r="J35" s="5">
        <f t="shared" ref="J35:J45" si="22">IF(H$12=0,0,H35/H$12)</f>
        <v>0.31786309127248502</v>
      </c>
      <c r="K35" s="1"/>
      <c r="L35" s="1">
        <f t="shared" ref="L35:L45" si="23">+D35-H35</f>
        <v>-7633.8</v>
      </c>
      <c r="M35" s="1"/>
      <c r="N35" s="5">
        <f t="shared" ref="N35:N45" si="24">IF(H35=0,0,L35/H35)</f>
        <v>-1</v>
      </c>
      <c r="O35" s="14"/>
      <c r="P35" s="1">
        <f>SUM(OSRRefP22_1x_0)</f>
        <v>15859.96</v>
      </c>
      <c r="Q35" s="1"/>
      <c r="R35" s="5">
        <f t="shared" ref="R35:R45" si="25">IF(P$12=0,0,P35/P$12)</f>
        <v>6.404260903624917</v>
      </c>
      <c r="S35" s="1"/>
      <c r="T35" s="1">
        <f>SUM(OSRRefT22_1x_0)</f>
        <v>34892.89</v>
      </c>
      <c r="U35" s="1"/>
      <c r="V35" s="5">
        <f t="shared" ref="V35:V45" si="26">IF(T$12=0,0,T35/T$12)</f>
        <v>0.50481611689814809</v>
      </c>
      <c r="W35" s="1"/>
      <c r="X35" s="1">
        <f t="shared" ref="X35:X45" si="27">+P35-T35</f>
        <v>-19032.93</v>
      </c>
      <c r="Y35" s="1"/>
      <c r="Z35" s="5">
        <f t="shared" ref="Z35:Z45" si="28">IF(T35=0,0,X35/T35)</f>
        <v>-0.54546728574216696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>
        <v>13728</v>
      </c>
      <c r="Q37" s="2"/>
      <c r="R37" s="6">
        <f t="shared" si="25"/>
        <v>5.5433742383311726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13728</v>
      </c>
      <c r="Y37" s="2"/>
      <c r="Z37" s="6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2741.4</v>
      </c>
      <c r="I39" s="2"/>
      <c r="J39" s="6">
        <f t="shared" si="22"/>
        <v>0.11414890073284477</v>
      </c>
      <c r="K39" s="2"/>
      <c r="L39" s="7">
        <f t="shared" si="23"/>
        <v>-2741.4</v>
      </c>
      <c r="M39" s="2"/>
      <c r="N39" s="6">
        <f t="shared" si="24"/>
        <v>-1</v>
      </c>
      <c r="O39" s="11"/>
      <c r="P39" s="7"/>
      <c r="Q39" s="2"/>
      <c r="R39" s="6">
        <f t="shared" si="25"/>
        <v>0</v>
      </c>
      <c r="S39" s="2"/>
      <c r="T39" s="7">
        <v>16707.310000000001</v>
      </c>
      <c r="U39" s="2"/>
      <c r="V39" s="6">
        <f t="shared" si="26"/>
        <v>0.24171455439814818</v>
      </c>
      <c r="W39" s="2"/>
      <c r="X39" s="7">
        <f t="shared" si="27"/>
        <v>-16707.310000000001</v>
      </c>
      <c r="Y39" s="2"/>
      <c r="Z39" s="6">
        <f t="shared" si="28"/>
        <v>-1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2462.4</v>
      </c>
      <c r="I40" s="2"/>
      <c r="J40" s="6">
        <f t="shared" si="22"/>
        <v>0.10253164556962026</v>
      </c>
      <c r="K40" s="2"/>
      <c r="L40" s="7">
        <f t="shared" si="23"/>
        <v>-2462.4</v>
      </c>
      <c r="M40" s="2"/>
      <c r="N40" s="6">
        <f t="shared" si="24"/>
        <v>-1</v>
      </c>
      <c r="O40" s="11"/>
      <c r="P40" s="7">
        <v>2131.96</v>
      </c>
      <c r="Q40" s="2"/>
      <c r="R40" s="6">
        <f t="shared" si="25"/>
        <v>0.86088666529374469</v>
      </c>
      <c r="S40" s="2"/>
      <c r="T40" s="7">
        <v>4186.08</v>
      </c>
      <c r="U40" s="2"/>
      <c r="V40" s="6">
        <f t="shared" si="26"/>
        <v>6.0562499999999998E-2</v>
      </c>
      <c r="W40" s="2"/>
      <c r="X40" s="7">
        <f t="shared" si="27"/>
        <v>-2054.12</v>
      </c>
      <c r="Y40" s="2"/>
      <c r="Z40" s="6">
        <f t="shared" si="28"/>
        <v>-0.49070251882429383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0</v>
      </c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2430</v>
      </c>
      <c r="I43" s="2"/>
      <c r="J43" s="6">
        <f t="shared" si="22"/>
        <v>0.10118254497001998</v>
      </c>
      <c r="K43" s="2"/>
      <c r="L43" s="7">
        <f t="shared" si="23"/>
        <v>-2430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13999.5</v>
      </c>
      <c r="U43" s="2"/>
      <c r="V43" s="6">
        <f t="shared" si="26"/>
        <v>0.20253906250000001</v>
      </c>
      <c r="W43" s="2"/>
      <c r="X43" s="7">
        <f t="shared" si="27"/>
        <v>-13999.5</v>
      </c>
      <c r="Y43" s="2"/>
      <c r="Z43" s="6">
        <f t="shared" si="28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8" customFormat="1" outlineLevel="1" collapsed="1" x14ac:dyDescent="0.25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8" si="29">IF(D$12=0,0,D46/D$12)</f>
        <v>0</v>
      </c>
      <c r="G46" s="1"/>
      <c r="H46" s="1">
        <f>SUM(OSRRefH22_2x_0)</f>
        <v>100</v>
      </c>
      <c r="I46" s="1"/>
      <c r="J46" s="5">
        <f t="shared" ref="J46:J58" si="30">IF(H$12=0,0,H46/H$12)</f>
        <v>4.1638907395069955E-3</v>
      </c>
      <c r="K46" s="1"/>
      <c r="L46" s="1">
        <f t="shared" ref="L46:L58" si="31">+D46-H46</f>
        <v>-100</v>
      </c>
      <c r="M46" s="1"/>
      <c r="N46" s="5">
        <f t="shared" ref="N46:N58" si="32">IF(H46=0,0,L46/H46)</f>
        <v>-1</v>
      </c>
      <c r="O46" s="14"/>
      <c r="P46" s="1">
        <f>SUM(OSRRefP22_2x_0)</f>
        <v>0</v>
      </c>
      <c r="Q46" s="1"/>
      <c r="R46" s="5">
        <f t="shared" ref="R46:R58" si="33">IF(P$12=0,0,P46/P$12)</f>
        <v>0</v>
      </c>
      <c r="S46" s="1"/>
      <c r="T46" s="1">
        <f>SUM(OSRRefT22_2x_0)</f>
        <v>700</v>
      </c>
      <c r="U46" s="1"/>
      <c r="V46" s="5">
        <f t="shared" ref="V46:V58" si="34">IF(T$12=0,0,T46/T$12)</f>
        <v>1.0127314814814815E-2</v>
      </c>
      <c r="W46" s="1"/>
      <c r="X46" s="1">
        <f t="shared" ref="X46:X58" si="35">+P46-T46</f>
        <v>-700</v>
      </c>
      <c r="Y46" s="1"/>
      <c r="Z46" s="5">
        <f t="shared" ref="Z46:Z58" si="36">IF(T46=0,0,X46/T46)</f>
        <v>-1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9"/>
        <v>0</v>
      </c>
      <c r="G47" s="2"/>
      <c r="H47" s="7">
        <v>100</v>
      </c>
      <c r="I47" s="2"/>
      <c r="J47" s="6">
        <f t="shared" si="30"/>
        <v>4.1638907395069955E-3</v>
      </c>
      <c r="K47" s="2"/>
      <c r="L47" s="7">
        <f t="shared" si="31"/>
        <v>-100</v>
      </c>
      <c r="M47" s="2"/>
      <c r="N47" s="6">
        <f t="shared" si="32"/>
        <v>-1</v>
      </c>
      <c r="O47" s="11"/>
      <c r="P47" s="7"/>
      <c r="Q47" s="2"/>
      <c r="R47" s="6">
        <f t="shared" si="33"/>
        <v>0</v>
      </c>
      <c r="S47" s="2"/>
      <c r="T47" s="7">
        <v>700</v>
      </c>
      <c r="U47" s="2"/>
      <c r="V47" s="6">
        <f t="shared" si="34"/>
        <v>1.0127314814814815E-2</v>
      </c>
      <c r="W47" s="2"/>
      <c r="X47" s="7">
        <f t="shared" si="35"/>
        <v>-700</v>
      </c>
      <c r="Y47" s="2"/>
      <c r="Z47" s="6">
        <f t="shared" si="36"/>
        <v>-1</v>
      </c>
    </row>
    <row r="48" spans="1:26" s="28" customFormat="1" outlineLevel="1" collapsed="1" x14ac:dyDescent="0.25">
      <c r="A48" s="29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4"/>
      <c r="P48" s="1">
        <f>SUM(OSRRefP22_3x_0)</f>
        <v>3.31</v>
      </c>
      <c r="Q48" s="1"/>
      <c r="R48" s="5">
        <f t="shared" si="33"/>
        <v>1.3365798899239642E-3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3.31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3.31</v>
      </c>
      <c r="Q49" s="2"/>
      <c r="R49" s="6">
        <f t="shared" si="33"/>
        <v>1.3365798899239642E-3</v>
      </c>
      <c r="S49" s="2"/>
      <c r="T49" s="7"/>
      <c r="U49" s="2"/>
      <c r="V49" s="6">
        <f t="shared" si="34"/>
        <v>0</v>
      </c>
      <c r="W49" s="2"/>
      <c r="X49" s="7">
        <f t="shared" si="35"/>
        <v>3.31</v>
      </c>
      <c r="Y49" s="2"/>
      <c r="Z49" s="6">
        <f t="shared" si="36"/>
        <v>0</v>
      </c>
    </row>
    <row r="50" spans="1:26" s="28" customFormat="1" outlineLevel="1" collapsed="1" x14ac:dyDescent="0.25">
      <c r="A50" s="29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224.95</v>
      </c>
      <c r="E50" s="1"/>
      <c r="F50" s="5">
        <f t="shared" si="29"/>
        <v>0</v>
      </c>
      <c r="G50" s="1"/>
      <c r="H50" s="1">
        <f>SUM(OSRRefH22_4x_0)</f>
        <v>1521</v>
      </c>
      <c r="I50" s="1"/>
      <c r="J50" s="5">
        <f t="shared" si="30"/>
        <v>6.3332778147901406E-2</v>
      </c>
      <c r="K50" s="1"/>
      <c r="L50" s="1">
        <f t="shared" si="31"/>
        <v>-1296.05</v>
      </c>
      <c r="M50" s="1"/>
      <c r="N50" s="5">
        <f t="shared" si="32"/>
        <v>-0.85210387902695595</v>
      </c>
      <c r="O50" s="14"/>
      <c r="P50" s="1">
        <f>SUM(OSRRefP22_4x_0)</f>
        <v>1123.23</v>
      </c>
      <c r="Q50" s="1"/>
      <c r="R50" s="5">
        <f t="shared" si="33"/>
        <v>0.45356091533513426</v>
      </c>
      <c r="S50" s="1"/>
      <c r="T50" s="1">
        <f>SUM(OSRRefT22_4x_0)</f>
        <v>4379</v>
      </c>
      <c r="U50" s="1"/>
      <c r="V50" s="5">
        <f t="shared" si="34"/>
        <v>6.3353587962962962E-2</v>
      </c>
      <c r="W50" s="1"/>
      <c r="X50" s="1">
        <f t="shared" si="35"/>
        <v>-3255.77</v>
      </c>
      <c r="Y50" s="1"/>
      <c r="Z50" s="5">
        <f t="shared" si="36"/>
        <v>-0.7434962320164421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7">
        <v>224.95</v>
      </c>
      <c r="E51" s="2"/>
      <c r="F51" s="6">
        <f t="shared" si="29"/>
        <v>0</v>
      </c>
      <c r="G51" s="2"/>
      <c r="H51" s="7">
        <v>1521</v>
      </c>
      <c r="I51" s="2"/>
      <c r="J51" s="6">
        <f t="shared" si="30"/>
        <v>6.3332778147901406E-2</v>
      </c>
      <c r="K51" s="2"/>
      <c r="L51" s="7">
        <f t="shared" si="31"/>
        <v>-1296.05</v>
      </c>
      <c r="M51" s="2"/>
      <c r="N51" s="6">
        <f t="shared" si="32"/>
        <v>-0.85210387902695595</v>
      </c>
      <c r="O51" s="11"/>
      <c r="P51" s="7">
        <v>1123.23</v>
      </c>
      <c r="Q51" s="2"/>
      <c r="R51" s="6">
        <f t="shared" si="33"/>
        <v>0.45356091533513426</v>
      </c>
      <c r="S51" s="2"/>
      <c r="T51" s="7">
        <v>4379</v>
      </c>
      <c r="U51" s="2"/>
      <c r="V51" s="6">
        <f t="shared" si="34"/>
        <v>6.3353587962962962E-2</v>
      </c>
      <c r="W51" s="2"/>
      <c r="X51" s="7">
        <f t="shared" si="35"/>
        <v>-3255.77</v>
      </c>
      <c r="Y51" s="2"/>
      <c r="Z51" s="6">
        <f t="shared" si="36"/>
        <v>-0.7434962320164421</v>
      </c>
    </row>
    <row r="52" spans="1:26" s="28" customFormat="1" outlineLevel="1" collapsed="1" x14ac:dyDescent="0.25">
      <c r="A52" s="29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SUM(OSRRefD22_5x_0)</f>
        <v>1075.3699999999999</v>
      </c>
      <c r="E52" s="1"/>
      <c r="F52" s="5">
        <f t="shared" si="29"/>
        <v>0</v>
      </c>
      <c r="G52" s="1"/>
      <c r="H52" s="1">
        <f>SUM(OSRRefH22_5x_0)</f>
        <v>1075</v>
      </c>
      <c r="I52" s="1"/>
      <c r="J52" s="5">
        <f t="shared" si="30"/>
        <v>4.4761825449700199E-2</v>
      </c>
      <c r="K52" s="1"/>
      <c r="L52" s="1">
        <f t="shared" si="31"/>
        <v>0.36999999999989086</v>
      </c>
      <c r="M52" s="1"/>
      <c r="N52" s="5">
        <f t="shared" si="32"/>
        <v>3.4418604651152636E-4</v>
      </c>
      <c r="O52" s="14"/>
      <c r="P52" s="1">
        <f>SUM(OSRRefP22_5x_0)</f>
        <v>8602.9599999999991</v>
      </c>
      <c r="Q52" s="1"/>
      <c r="R52" s="5">
        <f t="shared" si="33"/>
        <v>3.4738801600665457</v>
      </c>
      <c r="S52" s="1"/>
      <c r="T52" s="1">
        <f>SUM(OSRRefT22_5x_0)</f>
        <v>8600</v>
      </c>
      <c r="U52" s="1"/>
      <c r="V52" s="5">
        <f t="shared" si="34"/>
        <v>0.12442129629629629</v>
      </c>
      <c r="W52" s="1"/>
      <c r="X52" s="1">
        <f t="shared" si="35"/>
        <v>2.9599999999991269</v>
      </c>
      <c r="Y52" s="1"/>
      <c r="Z52" s="5">
        <f t="shared" si="36"/>
        <v>3.4418604651152636E-4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1075.3699999999999</v>
      </c>
      <c r="E53" s="2"/>
      <c r="F53" s="6">
        <f t="shared" si="29"/>
        <v>0</v>
      </c>
      <c r="G53" s="2"/>
      <c r="H53" s="7">
        <v>1075</v>
      </c>
      <c r="I53" s="2"/>
      <c r="J53" s="6">
        <f t="shared" si="30"/>
        <v>4.4761825449700199E-2</v>
      </c>
      <c r="K53" s="2"/>
      <c r="L53" s="7">
        <f t="shared" si="31"/>
        <v>0.36999999999989086</v>
      </c>
      <c r="M53" s="2"/>
      <c r="N53" s="6">
        <f t="shared" si="32"/>
        <v>3.4418604651152636E-4</v>
      </c>
      <c r="O53" s="11"/>
      <c r="P53" s="7">
        <v>8602.9599999999991</v>
      </c>
      <c r="Q53" s="2"/>
      <c r="R53" s="6">
        <f t="shared" si="33"/>
        <v>3.4738801600665457</v>
      </c>
      <c r="S53" s="2"/>
      <c r="T53" s="7">
        <v>8600</v>
      </c>
      <c r="U53" s="2"/>
      <c r="V53" s="6">
        <f t="shared" si="34"/>
        <v>0.12442129629629629</v>
      </c>
      <c r="W53" s="2"/>
      <c r="X53" s="7">
        <f t="shared" si="35"/>
        <v>2.9599999999991269</v>
      </c>
      <c r="Y53" s="2"/>
      <c r="Z53" s="6">
        <f t="shared" si="36"/>
        <v>3.4418604651152636E-4</v>
      </c>
    </row>
    <row r="54" spans="1:26" s="28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SUM(OSRRefP22_6x_0)</f>
        <v>1138.94</v>
      </c>
      <c r="Q54" s="1"/>
      <c r="R54" s="5">
        <f t="shared" si="33"/>
        <v>0.4599046223051359</v>
      </c>
      <c r="S54" s="1"/>
      <c r="T54" s="1">
        <f>SUM(OSRRefT22_6x_0)</f>
        <v>1000</v>
      </c>
      <c r="U54" s="1"/>
      <c r="V54" s="5">
        <f t="shared" si="34"/>
        <v>1.4467592592592593E-2</v>
      </c>
      <c r="W54" s="1"/>
      <c r="X54" s="1">
        <f t="shared" si="35"/>
        <v>138.94000000000005</v>
      </c>
      <c r="Y54" s="1"/>
      <c r="Z54" s="5">
        <f t="shared" si="36"/>
        <v>0.13894000000000006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1138.94</v>
      </c>
      <c r="Q55" s="2"/>
      <c r="R55" s="6">
        <f t="shared" si="33"/>
        <v>0.4599046223051359</v>
      </c>
      <c r="S55" s="2"/>
      <c r="T55" s="7">
        <v>1000</v>
      </c>
      <c r="U55" s="2"/>
      <c r="V55" s="6">
        <f t="shared" si="34"/>
        <v>1.4467592592592593E-2</v>
      </c>
      <c r="W55" s="2"/>
      <c r="X55" s="7">
        <f t="shared" si="35"/>
        <v>138.94000000000005</v>
      </c>
      <c r="Y55" s="2"/>
      <c r="Z55" s="6">
        <f t="shared" si="36"/>
        <v>0.13894000000000006</v>
      </c>
    </row>
    <row r="56" spans="1:26" s="28" customFormat="1" outlineLevel="1" collapsed="1" x14ac:dyDescent="0.25">
      <c r="A56" s="29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250</v>
      </c>
      <c r="I56" s="1"/>
      <c r="J56" s="5">
        <f t="shared" si="30"/>
        <v>1.0409726848767488E-2</v>
      </c>
      <c r="K56" s="1"/>
      <c r="L56" s="1">
        <f t="shared" si="31"/>
        <v>-250</v>
      </c>
      <c r="M56" s="1"/>
      <c r="N56" s="5">
        <f t="shared" si="32"/>
        <v>-1</v>
      </c>
      <c r="O56" s="14"/>
      <c r="P56" s="1">
        <f>SUM(OSRRefP22_7x_0)</f>
        <v>492.62</v>
      </c>
      <c r="Q56" s="1"/>
      <c r="R56" s="5">
        <f t="shared" si="33"/>
        <v>0.19892023727321548</v>
      </c>
      <c r="S56" s="1"/>
      <c r="T56" s="1">
        <f>SUM(OSRRefT22_7x_0)</f>
        <v>1750</v>
      </c>
      <c r="U56" s="1"/>
      <c r="V56" s="5">
        <f t="shared" si="34"/>
        <v>2.5318287037037038E-2</v>
      </c>
      <c r="W56" s="1"/>
      <c r="X56" s="1">
        <f t="shared" si="35"/>
        <v>-1257.3800000000001</v>
      </c>
      <c r="Y56" s="1"/>
      <c r="Z56" s="5">
        <f t="shared" si="36"/>
        <v>-0.71850285714285722</v>
      </c>
    </row>
    <row r="57" spans="1:26" s="24" customFormat="1" hidden="1" outlineLevel="2" x14ac:dyDescent="0.25">
      <c r="A57" s="27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175.06</v>
      </c>
      <c r="Q57" s="2"/>
      <c r="R57" s="6">
        <f t="shared" si="33"/>
        <v>7.0689327954709724E-2</v>
      </c>
      <c r="S57" s="2"/>
      <c r="T57" s="7"/>
      <c r="U57" s="2"/>
      <c r="V57" s="6">
        <f t="shared" si="34"/>
        <v>0</v>
      </c>
      <c r="W57" s="2"/>
      <c r="X57" s="7">
        <f t="shared" si="35"/>
        <v>175.06</v>
      </c>
      <c r="Y57" s="2"/>
      <c r="Z57" s="6">
        <f t="shared" si="36"/>
        <v>0</v>
      </c>
    </row>
    <row r="58" spans="1:26" s="24" customFormat="1" hidden="1" outlineLevel="2" x14ac:dyDescent="0.2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>
        <v>250</v>
      </c>
      <c r="I58" s="2"/>
      <c r="J58" s="6">
        <f t="shared" si="30"/>
        <v>1.0409726848767488E-2</v>
      </c>
      <c r="K58" s="2"/>
      <c r="L58" s="7">
        <f t="shared" si="31"/>
        <v>-250</v>
      </c>
      <c r="M58" s="2"/>
      <c r="N58" s="6">
        <f t="shared" si="32"/>
        <v>-1</v>
      </c>
      <c r="O58" s="11"/>
      <c r="P58" s="7">
        <v>317.56</v>
      </c>
      <c r="Q58" s="2"/>
      <c r="R58" s="6">
        <f t="shared" si="33"/>
        <v>0.12823090931850575</v>
      </c>
      <c r="S58" s="2"/>
      <c r="T58" s="7">
        <v>1750</v>
      </c>
      <c r="U58" s="2"/>
      <c r="V58" s="6">
        <f t="shared" si="34"/>
        <v>2.5318287037037038E-2</v>
      </c>
      <c r="W58" s="2"/>
      <c r="X58" s="7">
        <f t="shared" si="35"/>
        <v>-1432.44</v>
      </c>
      <c r="Y58" s="2"/>
      <c r="Z58" s="6">
        <f t="shared" si="36"/>
        <v>-0.81853714285714285</v>
      </c>
    </row>
    <row r="59" spans="1:26" s="28" customFormat="1" outlineLevel="1" collapsed="1" x14ac:dyDescent="0.25">
      <c r="A59" s="29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SUM(OSRRefD22_8x_0)</f>
        <v>0</v>
      </c>
      <c r="E59" s="1"/>
      <c r="F59" s="5">
        <f t="shared" ref="F59:F61" si="37">IF(D$12=0,0,D59/D$12)</f>
        <v>0</v>
      </c>
      <c r="G59" s="1"/>
      <c r="H59" s="1">
        <f>SUM(OSRRefH22_8x_0)</f>
        <v>2137</v>
      </c>
      <c r="I59" s="1"/>
      <c r="J59" s="5">
        <f t="shared" ref="J59:J61" si="38">IF(H$12=0,0,H59/H$12)</f>
        <v>8.8982345103264485E-2</v>
      </c>
      <c r="K59" s="1"/>
      <c r="L59" s="1">
        <f t="shared" ref="L59:L61" si="39">+D59-H59</f>
        <v>-2137</v>
      </c>
      <c r="M59" s="1"/>
      <c r="N59" s="5">
        <f t="shared" ref="N59:N61" si="40">IF(H59=0,0,L59/H59)</f>
        <v>-1</v>
      </c>
      <c r="O59" s="14"/>
      <c r="P59" s="1">
        <f>SUM(OSRRefP22_8x_0)</f>
        <v>185.7</v>
      </c>
      <c r="Q59" s="1"/>
      <c r="R59" s="5">
        <f t="shared" ref="R59:R61" si="41">IF(P$12=0,0,P59/P$12)</f>
        <v>7.4985766029873155E-2</v>
      </c>
      <c r="S59" s="1"/>
      <c r="T59" s="1">
        <f>SUM(OSRRefT22_8x_0)</f>
        <v>6223</v>
      </c>
      <c r="U59" s="1"/>
      <c r="V59" s="5">
        <f t="shared" ref="V59:V61" si="42">IF(T$12=0,0,T59/T$12)</f>
        <v>9.0031828703703701E-2</v>
      </c>
      <c r="W59" s="1"/>
      <c r="X59" s="1">
        <f t="shared" ref="X59:X61" si="43">+P59-T59</f>
        <v>-6037.3</v>
      </c>
      <c r="Y59" s="1"/>
      <c r="Z59" s="5">
        <f t="shared" ref="Z59:Z61" si="44">IF(T59=0,0,X59/T59)</f>
        <v>-0.9701590872569501</v>
      </c>
    </row>
    <row r="60" spans="1:26" s="24" customFormat="1" hidden="1" outlineLevel="2" x14ac:dyDescent="0.25">
      <c r="A60" s="27"/>
      <c r="B60" s="11" t="str">
        <f>CONCATENATE("          ", "6254", " - ", "ROYALTY &amp; COMMISSIONS")</f>
        <v xml:space="preserve">          6254 - ROYALTY &amp; COMMISSIONS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185.7</v>
      </c>
      <c r="Q60" s="2"/>
      <c r="R60" s="6">
        <f t="shared" si="41"/>
        <v>7.4985766029873155E-2</v>
      </c>
      <c r="S60" s="2"/>
      <c r="T60" s="7"/>
      <c r="U60" s="2"/>
      <c r="V60" s="6">
        <f t="shared" si="42"/>
        <v>0</v>
      </c>
      <c r="W60" s="2"/>
      <c r="X60" s="7">
        <f t="shared" si="43"/>
        <v>185.7</v>
      </c>
      <c r="Y60" s="2"/>
      <c r="Z60" s="6">
        <f t="shared" si="44"/>
        <v>0</v>
      </c>
    </row>
    <row r="61" spans="1:26" s="24" customFormat="1" hidden="1" outlineLevel="2" x14ac:dyDescent="0.25">
      <c r="A61" s="27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2137</v>
      </c>
      <c r="I61" s="2"/>
      <c r="J61" s="6">
        <f t="shared" si="38"/>
        <v>8.8982345103264485E-2</v>
      </c>
      <c r="K61" s="2"/>
      <c r="L61" s="7">
        <f t="shared" si="39"/>
        <v>-2137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6223</v>
      </c>
      <c r="U61" s="2"/>
      <c r="V61" s="6">
        <f t="shared" si="42"/>
        <v>9.0031828703703701E-2</v>
      </c>
      <c r="W61" s="2"/>
      <c r="X61" s="7">
        <f t="shared" si="43"/>
        <v>-6223</v>
      </c>
      <c r="Y61" s="2"/>
      <c r="Z61" s="6">
        <f t="shared" si="44"/>
        <v>-1</v>
      </c>
    </row>
    <row r="62" spans="1:26" s="28" customFormat="1" outlineLevel="1" collapsed="1" x14ac:dyDescent="0.25">
      <c r="A62" s="29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SUM(OSRRefD22_9x_0)</f>
        <v>0</v>
      </c>
      <c r="E62" s="1"/>
      <c r="F62" s="5">
        <f t="shared" ref="F62:F64" si="45">IF(D$12=0,0,D62/D$12)</f>
        <v>0</v>
      </c>
      <c r="G62" s="1"/>
      <c r="H62" s="1">
        <f>SUM(OSRRefH22_9x_0)</f>
        <v>287</v>
      </c>
      <c r="I62" s="1"/>
      <c r="J62" s="5">
        <f t="shared" ref="J62:J64" si="46">IF(H$12=0,0,H62/H$12)</f>
        <v>1.1950366422385077E-2</v>
      </c>
      <c r="K62" s="1"/>
      <c r="L62" s="1">
        <f t="shared" ref="L62:L64" si="47">+D62-H62</f>
        <v>-287</v>
      </c>
      <c r="M62" s="1"/>
      <c r="N62" s="5">
        <f t="shared" ref="N62:N64" si="48">IF(H62=0,0,L62/H62)</f>
        <v>-1</v>
      </c>
      <c r="O62" s="14"/>
      <c r="P62" s="1">
        <f>SUM(OSRRefP22_9x_0)</f>
        <v>-63.319999999999993</v>
      </c>
      <c r="Q62" s="1"/>
      <c r="R62" s="5">
        <f t="shared" ref="R62:R64" si="49">IF(P$12=0,0,P62/P$12)</f>
        <v>-2.556865215407414E-2</v>
      </c>
      <c r="S62" s="1"/>
      <c r="T62" s="1">
        <f>SUM(OSRRefT22_9x_0)</f>
        <v>2009</v>
      </c>
      <c r="U62" s="1"/>
      <c r="V62" s="5">
        <f t="shared" ref="V62:V64" si="50">IF(T$12=0,0,T62/T$12)</f>
        <v>2.9065393518518518E-2</v>
      </c>
      <c r="W62" s="1"/>
      <c r="X62" s="1">
        <f t="shared" ref="X62:X64" si="51">+P62-T62</f>
        <v>-2072.3200000000002</v>
      </c>
      <c r="Y62" s="1"/>
      <c r="Z62" s="5">
        <f t="shared" ref="Z62:Z64" si="52">IF(T62=0,0,X62/T62)</f>
        <v>-1.0315181682429071</v>
      </c>
    </row>
    <row r="63" spans="1:26" s="24" customFormat="1" hidden="1" outlineLevel="2" x14ac:dyDescent="0.2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5"/>
        <v>0</v>
      </c>
      <c r="G63" s="2"/>
      <c r="H63" s="7"/>
      <c r="I63" s="2"/>
      <c r="J63" s="6">
        <f t="shared" si="46"/>
        <v>0</v>
      </c>
      <c r="K63" s="2"/>
      <c r="L63" s="7">
        <f t="shared" si="47"/>
        <v>0</v>
      </c>
      <c r="M63" s="2"/>
      <c r="N63" s="6">
        <f t="shared" si="48"/>
        <v>0</v>
      </c>
      <c r="O63" s="11"/>
      <c r="P63" s="7">
        <v>82</v>
      </c>
      <c r="Q63" s="2"/>
      <c r="R63" s="6">
        <f t="shared" si="49"/>
        <v>3.3111646819868598E-2</v>
      </c>
      <c r="S63" s="2"/>
      <c r="T63" s="7"/>
      <c r="U63" s="2"/>
      <c r="V63" s="6">
        <f t="shared" si="50"/>
        <v>0</v>
      </c>
      <c r="W63" s="2"/>
      <c r="X63" s="7">
        <f t="shared" si="51"/>
        <v>82</v>
      </c>
      <c r="Y63" s="2"/>
      <c r="Z63" s="6">
        <f t="shared" si="52"/>
        <v>0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45"/>
        <v>0</v>
      </c>
      <c r="G64" s="2"/>
      <c r="H64" s="7">
        <v>287</v>
      </c>
      <c r="I64" s="2"/>
      <c r="J64" s="6">
        <f t="shared" si="46"/>
        <v>1.1950366422385077E-2</v>
      </c>
      <c r="K64" s="2"/>
      <c r="L64" s="7">
        <f t="shared" si="47"/>
        <v>-287</v>
      </c>
      <c r="M64" s="2"/>
      <c r="N64" s="6">
        <f t="shared" si="48"/>
        <v>-1</v>
      </c>
      <c r="O64" s="11"/>
      <c r="P64" s="7">
        <v>-145.32</v>
      </c>
      <c r="Q64" s="2"/>
      <c r="R64" s="6">
        <f t="shared" si="49"/>
        <v>-5.8680298973942738E-2</v>
      </c>
      <c r="S64" s="2"/>
      <c r="T64" s="7">
        <v>2009</v>
      </c>
      <c r="U64" s="2"/>
      <c r="V64" s="6">
        <f t="shared" si="50"/>
        <v>2.9065393518518518E-2</v>
      </c>
      <c r="W64" s="2"/>
      <c r="X64" s="7">
        <f t="shared" si="51"/>
        <v>-2154.3200000000002</v>
      </c>
      <c r="Y64" s="2"/>
      <c r="Z64" s="6">
        <f t="shared" si="52"/>
        <v>-1.0723344947735192</v>
      </c>
    </row>
    <row r="65" spans="1:26" s="28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SUM(OSRRefD22_10x_0)</f>
        <v>0</v>
      </c>
      <c r="E65" s="1"/>
      <c r="F65" s="5">
        <f t="shared" ref="F65:F68" si="53">IF(D$12=0,0,D65/D$12)</f>
        <v>0</v>
      </c>
      <c r="G65" s="1"/>
      <c r="H65" s="1">
        <f>SUM(OSRRefH22_10x_0)</f>
        <v>467</v>
      </c>
      <c r="I65" s="1"/>
      <c r="J65" s="5">
        <f t="shared" ref="J65:J68" si="54">IF(H$12=0,0,H65/H$12)</f>
        <v>1.9445369753497668E-2</v>
      </c>
      <c r="K65" s="1"/>
      <c r="L65" s="1">
        <f t="shared" ref="L65:L68" si="55">+D65-H65</f>
        <v>-467</v>
      </c>
      <c r="M65" s="1"/>
      <c r="N65" s="5">
        <f t="shared" ref="N65:N68" si="56">IF(H65=0,0,L65/H65)</f>
        <v>-1</v>
      </c>
      <c r="O65" s="14"/>
      <c r="P65" s="1">
        <f>SUM(OSRRefP22_10x_0)</f>
        <v>328.55</v>
      </c>
      <c r="Q65" s="1"/>
      <c r="R65" s="5">
        <f t="shared" ref="R65:R68" si="57">IF(P$12=0,0,P65/P$12)</f>
        <v>0.13266867759351011</v>
      </c>
      <c r="S65" s="1"/>
      <c r="T65" s="1">
        <f>SUM(OSRRefT22_10x_0)</f>
        <v>3469</v>
      </c>
      <c r="U65" s="1"/>
      <c r="V65" s="5">
        <f t="shared" ref="V65:V68" si="58">IF(T$12=0,0,T65/T$12)</f>
        <v>5.0188078703703703E-2</v>
      </c>
      <c r="W65" s="1"/>
      <c r="X65" s="1">
        <f t="shared" ref="X65:X68" si="59">+P65-T65</f>
        <v>-3140.45</v>
      </c>
      <c r="Y65" s="1"/>
      <c r="Z65" s="5">
        <f t="shared" ref="Z65:Z68" si="60">IF(T65=0,0,X65/T65)</f>
        <v>-0.90528970884981252</v>
      </c>
    </row>
    <row r="66" spans="1:26" s="24" customFormat="1" hidden="1" outlineLevel="2" x14ac:dyDescent="0.25">
      <c r="A66" s="27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3"/>
        <v>0</v>
      </c>
      <c r="G66" s="2"/>
      <c r="H66" s="7">
        <v>200</v>
      </c>
      <c r="I66" s="2"/>
      <c r="J66" s="6">
        <f t="shared" si="54"/>
        <v>8.327781479013991E-3</v>
      </c>
      <c r="K66" s="2"/>
      <c r="L66" s="7">
        <f t="shared" si="55"/>
        <v>-200</v>
      </c>
      <c r="M66" s="2"/>
      <c r="N66" s="6">
        <f t="shared" si="56"/>
        <v>-1</v>
      </c>
      <c r="O66" s="11"/>
      <c r="P66" s="7">
        <v>207.27</v>
      </c>
      <c r="Q66" s="2"/>
      <c r="R66" s="6">
        <f t="shared" si="57"/>
        <v>8.3695744345782502E-2</v>
      </c>
      <c r="S66" s="2"/>
      <c r="T66" s="7">
        <v>1400</v>
      </c>
      <c r="U66" s="2"/>
      <c r="V66" s="6">
        <f t="shared" si="58"/>
        <v>2.0254629629629629E-2</v>
      </c>
      <c r="W66" s="2"/>
      <c r="X66" s="7">
        <f t="shared" si="59"/>
        <v>-1192.73</v>
      </c>
      <c r="Y66" s="2"/>
      <c r="Z66" s="6">
        <f t="shared" si="60"/>
        <v>-0.85194999999999999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53"/>
        <v>0</v>
      </c>
      <c r="G67" s="2"/>
      <c r="H67" s="7">
        <v>267</v>
      </c>
      <c r="I67" s="2"/>
      <c r="J67" s="6">
        <f t="shared" si="54"/>
        <v>1.1117588274483678E-2</v>
      </c>
      <c r="K67" s="2"/>
      <c r="L67" s="7">
        <f t="shared" si="55"/>
        <v>-267</v>
      </c>
      <c r="M67" s="2"/>
      <c r="N67" s="6">
        <f t="shared" si="56"/>
        <v>-1</v>
      </c>
      <c r="O67" s="11"/>
      <c r="P67" s="7">
        <v>121.28</v>
      </c>
      <c r="Q67" s="2"/>
      <c r="R67" s="6">
        <f t="shared" si="57"/>
        <v>4.8972933247727606E-2</v>
      </c>
      <c r="S67" s="2"/>
      <c r="T67" s="7">
        <v>1869</v>
      </c>
      <c r="U67" s="2"/>
      <c r="V67" s="6">
        <f t="shared" si="58"/>
        <v>2.7039930555555557E-2</v>
      </c>
      <c r="W67" s="2"/>
      <c r="X67" s="7">
        <f t="shared" si="59"/>
        <v>-1747.72</v>
      </c>
      <c r="Y67" s="2"/>
      <c r="Z67" s="6">
        <f t="shared" si="60"/>
        <v>-0.93510968432316743</v>
      </c>
    </row>
    <row r="68" spans="1:26" s="24" customFormat="1" hidden="1" outlineLevel="2" x14ac:dyDescent="0.25">
      <c r="A68" s="27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53"/>
        <v>0</v>
      </c>
      <c r="G68" s="2"/>
      <c r="H68" s="7"/>
      <c r="I68" s="2"/>
      <c r="J68" s="6">
        <f t="shared" si="54"/>
        <v>0</v>
      </c>
      <c r="K68" s="2"/>
      <c r="L68" s="7">
        <f t="shared" si="55"/>
        <v>0</v>
      </c>
      <c r="M68" s="2"/>
      <c r="N68" s="6">
        <f t="shared" si="56"/>
        <v>0</v>
      </c>
      <c r="O68" s="11"/>
      <c r="P68" s="7"/>
      <c r="Q68" s="2"/>
      <c r="R68" s="6">
        <f t="shared" si="57"/>
        <v>0</v>
      </c>
      <c r="S68" s="2"/>
      <c r="T68" s="7">
        <v>200</v>
      </c>
      <c r="U68" s="2"/>
      <c r="V68" s="6">
        <f t="shared" si="58"/>
        <v>2.8935185185185184E-3</v>
      </c>
      <c r="W68" s="2"/>
      <c r="X68" s="7">
        <f t="shared" si="59"/>
        <v>-200</v>
      </c>
      <c r="Y68" s="2"/>
      <c r="Z68" s="6">
        <f t="shared" si="60"/>
        <v>-1</v>
      </c>
    </row>
    <row r="69" spans="1:26" s="28" customFormat="1" outlineLevel="1" collapsed="1" x14ac:dyDescent="0.25">
      <c r="A69" s="29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SUM(OSRRefD22_11x_0)</f>
        <v>51.5</v>
      </c>
      <c r="E69" s="1"/>
      <c r="F69" s="5">
        <f t="shared" ref="F69:F71" si="61">IF(D$12=0,0,D69/D$12)</f>
        <v>0</v>
      </c>
      <c r="G69" s="1"/>
      <c r="H69" s="1">
        <f>SUM(OSRRefH22_11x_0)</f>
        <v>75</v>
      </c>
      <c r="I69" s="1"/>
      <c r="J69" s="5">
        <f t="shared" ref="J69:J71" si="62">IF(H$12=0,0,H69/H$12)</f>
        <v>3.1229180546302466E-3</v>
      </c>
      <c r="K69" s="1"/>
      <c r="L69" s="1">
        <f t="shared" ref="L69:L71" si="63">+D69-H69</f>
        <v>-23.5</v>
      </c>
      <c r="M69" s="1"/>
      <c r="N69" s="5">
        <f t="shared" ref="N69:N71" si="64">IF(H69=0,0,L69/H69)</f>
        <v>-0.31333333333333335</v>
      </c>
      <c r="O69" s="14"/>
      <c r="P69" s="1">
        <f>SUM(OSRRefP22_11x_0)</f>
        <v>735.5</v>
      </c>
      <c r="Q69" s="1"/>
      <c r="R69" s="5">
        <f t="shared" ref="R69:R71" si="65">IF(P$12=0,0,P69/P$12)</f>
        <v>0.2969953199513824</v>
      </c>
      <c r="S69" s="1"/>
      <c r="T69" s="1">
        <f>SUM(OSRRefT22_11x_0)</f>
        <v>600</v>
      </c>
      <c r="U69" s="1"/>
      <c r="V69" s="5">
        <f t="shared" ref="V69:V71" si="66">IF(T$12=0,0,T69/T$12)</f>
        <v>8.6805555555555559E-3</v>
      </c>
      <c r="W69" s="1"/>
      <c r="X69" s="1">
        <f t="shared" ref="X69:X71" si="67">+P69-T69</f>
        <v>135.5</v>
      </c>
      <c r="Y69" s="1"/>
      <c r="Z69" s="5">
        <f t="shared" ref="Z69:Z71" si="68">IF(T69=0,0,X69/T69)</f>
        <v>0.22583333333333333</v>
      </c>
    </row>
    <row r="70" spans="1:26" s="24" customFormat="1" hidden="1" outlineLevel="2" x14ac:dyDescent="0.25">
      <c r="A70" s="27"/>
      <c r="B70" s="11" t="str">
        <f>CONCATENATE("          ", "6303", " - ", "DATA PHONE LINES")</f>
        <v xml:space="preserve">          6303 - DATA PHONE LINES</v>
      </c>
      <c r="C70" s="11"/>
      <c r="D70" s="7"/>
      <c r="E70" s="2"/>
      <c r="F70" s="6">
        <f t="shared" si="61"/>
        <v>0</v>
      </c>
      <c r="G70" s="2"/>
      <c r="H70" s="7">
        <v>75</v>
      </c>
      <c r="I70" s="2"/>
      <c r="J70" s="6">
        <f t="shared" si="62"/>
        <v>3.1229180546302466E-3</v>
      </c>
      <c r="K70" s="2"/>
      <c r="L70" s="7">
        <f t="shared" si="63"/>
        <v>-75</v>
      </c>
      <c r="M70" s="2"/>
      <c r="N70" s="6">
        <f t="shared" si="64"/>
        <v>-1</v>
      </c>
      <c r="O70" s="11"/>
      <c r="P70" s="7"/>
      <c r="Q70" s="2"/>
      <c r="R70" s="6">
        <f t="shared" si="65"/>
        <v>0</v>
      </c>
      <c r="S70" s="2"/>
      <c r="T70" s="7">
        <v>600</v>
      </c>
      <c r="U70" s="2"/>
      <c r="V70" s="6">
        <f t="shared" si="66"/>
        <v>8.6805555555555559E-3</v>
      </c>
      <c r="W70" s="2"/>
      <c r="X70" s="7">
        <f t="shared" si="67"/>
        <v>-600</v>
      </c>
      <c r="Y70" s="2"/>
      <c r="Z70" s="6">
        <f t="shared" si="68"/>
        <v>-1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7">
        <v>51.5</v>
      </c>
      <c r="E71" s="2"/>
      <c r="F71" s="6">
        <f t="shared" si="61"/>
        <v>0</v>
      </c>
      <c r="G71" s="2"/>
      <c r="H71" s="7"/>
      <c r="I71" s="2"/>
      <c r="J71" s="6">
        <f t="shared" si="62"/>
        <v>0</v>
      </c>
      <c r="K71" s="2"/>
      <c r="L71" s="7">
        <f t="shared" si="63"/>
        <v>51.5</v>
      </c>
      <c r="M71" s="2"/>
      <c r="N71" s="6">
        <f t="shared" si="64"/>
        <v>0</v>
      </c>
      <c r="O71" s="11"/>
      <c r="P71" s="7">
        <v>735.5</v>
      </c>
      <c r="Q71" s="2"/>
      <c r="R71" s="6">
        <f t="shared" si="65"/>
        <v>0.2969953199513824</v>
      </c>
      <c r="S71" s="2"/>
      <c r="T71" s="7"/>
      <c r="U71" s="2"/>
      <c r="V71" s="6">
        <f t="shared" si="66"/>
        <v>0</v>
      </c>
      <c r="W71" s="2"/>
      <c r="X71" s="7">
        <f t="shared" si="67"/>
        <v>735.5</v>
      </c>
      <c r="Y71" s="2"/>
      <c r="Z71" s="6">
        <f t="shared" si="68"/>
        <v>0</v>
      </c>
    </row>
    <row r="72" spans="1:26" s="28" customFormat="1" outlineLevel="1" collapsed="1" x14ac:dyDescent="0.25">
      <c r="A72" s="29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SUM(OSRRefD22_12x_0)</f>
        <v>0</v>
      </c>
      <c r="E72" s="1"/>
      <c r="F72" s="5">
        <f t="shared" ref="F72:F75" si="69">IF(D$12=0,0,D72/D$12)</f>
        <v>0</v>
      </c>
      <c r="G72" s="1"/>
      <c r="H72" s="1">
        <f>SUM(OSRRefH22_12x_0)</f>
        <v>0</v>
      </c>
      <c r="I72" s="1"/>
      <c r="J72" s="5">
        <f t="shared" ref="J72:J75" si="70">IF(H$12=0,0,H72/H$12)</f>
        <v>0</v>
      </c>
      <c r="K72" s="1"/>
      <c r="L72" s="1">
        <f t="shared" ref="L72:L75" si="71">+D72-H72</f>
        <v>0</v>
      </c>
      <c r="M72" s="1"/>
      <c r="N72" s="5">
        <f t="shared" ref="N72:N75" si="72">IF(H72=0,0,L72/H72)</f>
        <v>0</v>
      </c>
      <c r="O72" s="14"/>
      <c r="P72" s="1">
        <f>SUM(OSRRefP22_12x_0)</f>
        <v>0</v>
      </c>
      <c r="Q72" s="1"/>
      <c r="R72" s="5">
        <f t="shared" ref="R72:R75" si="73">IF(P$12=0,0,P72/P$12)</f>
        <v>0</v>
      </c>
      <c r="S72" s="1"/>
      <c r="T72" s="1">
        <f>SUM(OSRRefT22_12x_0)</f>
        <v>120</v>
      </c>
      <c r="U72" s="1"/>
      <c r="V72" s="5">
        <f t="shared" ref="V72:V75" si="74">IF(T$12=0,0,T72/T$12)</f>
        <v>1.736111111111111E-3</v>
      </c>
      <c r="W72" s="1"/>
      <c r="X72" s="1">
        <f t="shared" ref="X72:X75" si="75">+P72-T72</f>
        <v>-120</v>
      </c>
      <c r="Y72" s="1"/>
      <c r="Z72" s="5">
        <f t="shared" ref="Z72:Z75" si="76">IF(T72=0,0,X72/T72)</f>
        <v>-1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69"/>
        <v>0</v>
      </c>
      <c r="G73" s="2"/>
      <c r="H73" s="7"/>
      <c r="I73" s="2"/>
      <c r="J73" s="6">
        <f t="shared" si="70"/>
        <v>0</v>
      </c>
      <c r="K73" s="2"/>
      <c r="L73" s="7">
        <f t="shared" si="71"/>
        <v>0</v>
      </c>
      <c r="M73" s="2"/>
      <c r="N73" s="6">
        <f t="shared" si="72"/>
        <v>0</v>
      </c>
      <c r="O73" s="11"/>
      <c r="P73" s="7"/>
      <c r="Q73" s="2"/>
      <c r="R73" s="6">
        <f t="shared" si="73"/>
        <v>0</v>
      </c>
      <c r="S73" s="2"/>
      <c r="T73" s="7">
        <v>120</v>
      </c>
      <c r="U73" s="2"/>
      <c r="V73" s="6">
        <f t="shared" si="74"/>
        <v>1.736111111111111E-3</v>
      </c>
      <c r="W73" s="2"/>
      <c r="X73" s="7">
        <f t="shared" si="75"/>
        <v>-120</v>
      </c>
      <c r="Y73" s="2"/>
      <c r="Z73" s="6">
        <f t="shared" si="76"/>
        <v>-1</v>
      </c>
    </row>
    <row r="74" spans="1:26" s="28" customFormat="1" outlineLevel="1" collapsed="1" x14ac:dyDescent="0.25">
      <c r="A74" s="29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SUM(OSRRefD22_13x_0)</f>
        <v>50</v>
      </c>
      <c r="E74" s="1"/>
      <c r="F74" s="5">
        <f t="shared" si="69"/>
        <v>0</v>
      </c>
      <c r="G74" s="1"/>
      <c r="H74" s="1">
        <f>SUM(OSRRefH22_13x_0)</f>
        <v>50</v>
      </c>
      <c r="I74" s="1"/>
      <c r="J74" s="5">
        <f t="shared" si="70"/>
        <v>2.0819453697534978E-3</v>
      </c>
      <c r="K74" s="1"/>
      <c r="L74" s="1">
        <f t="shared" si="71"/>
        <v>0</v>
      </c>
      <c r="M74" s="1"/>
      <c r="N74" s="5">
        <f t="shared" si="72"/>
        <v>0</v>
      </c>
      <c r="O74" s="14"/>
      <c r="P74" s="1">
        <f>SUM(OSRRefP22_13x_0)</f>
        <v>400</v>
      </c>
      <c r="Q74" s="1"/>
      <c r="R74" s="5">
        <f t="shared" si="73"/>
        <v>0.16152022838960292</v>
      </c>
      <c r="S74" s="1"/>
      <c r="T74" s="1">
        <f>SUM(OSRRefT22_13x_0)</f>
        <v>400</v>
      </c>
      <c r="U74" s="1"/>
      <c r="V74" s="5">
        <f t="shared" si="74"/>
        <v>5.7870370370370367E-3</v>
      </c>
      <c r="W74" s="1"/>
      <c r="X74" s="1">
        <f t="shared" si="75"/>
        <v>0</v>
      </c>
      <c r="Y74" s="1"/>
      <c r="Z74" s="5">
        <f t="shared" si="76"/>
        <v>0</v>
      </c>
    </row>
    <row r="75" spans="1:26" s="24" customFormat="1" hidden="1" outlineLevel="2" x14ac:dyDescent="0.25">
      <c r="A75" s="27"/>
      <c r="B75" s="11" t="str">
        <f>CONCATENATE("          ", "6274", " - ", "UTILITIES")</f>
        <v xml:space="preserve">          6274 - UTILITIES</v>
      </c>
      <c r="C75" s="11"/>
      <c r="D75" s="7">
        <v>50</v>
      </c>
      <c r="E75" s="2"/>
      <c r="F75" s="6">
        <f t="shared" si="69"/>
        <v>0</v>
      </c>
      <c r="G75" s="2"/>
      <c r="H75" s="7">
        <v>50</v>
      </c>
      <c r="I75" s="2"/>
      <c r="J75" s="6">
        <f t="shared" si="70"/>
        <v>2.0819453697534978E-3</v>
      </c>
      <c r="K75" s="2"/>
      <c r="L75" s="7">
        <f t="shared" si="71"/>
        <v>0</v>
      </c>
      <c r="M75" s="2"/>
      <c r="N75" s="6">
        <f t="shared" si="72"/>
        <v>0</v>
      </c>
      <c r="O75" s="11"/>
      <c r="P75" s="7">
        <v>400</v>
      </c>
      <c r="Q75" s="2"/>
      <c r="R75" s="6">
        <f t="shared" si="73"/>
        <v>0.16152022838960292</v>
      </c>
      <c r="S75" s="2"/>
      <c r="T75" s="7">
        <v>400</v>
      </c>
      <c r="U75" s="2"/>
      <c r="V75" s="6">
        <f t="shared" si="74"/>
        <v>5.7870370370370367E-3</v>
      </c>
      <c r="W75" s="2"/>
      <c r="X75" s="7">
        <f t="shared" si="75"/>
        <v>0</v>
      </c>
      <c r="Y75" s="2"/>
      <c r="Z75" s="6">
        <f t="shared" si="76"/>
        <v>0</v>
      </c>
    </row>
    <row r="76" spans="1:26" s="58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3</v>
      </c>
      <c r="C79" s="25"/>
      <c r="D79" s="19">
        <f>+D22-D24+D77</f>
        <v>-20980.82</v>
      </c>
      <c r="E79" s="13"/>
      <c r="F79" s="21">
        <f>IF(D$12=0,0,D79/D$12)</f>
        <v>0</v>
      </c>
      <c r="G79" s="13"/>
      <c r="H79" s="19">
        <f>+H22-H24+H77</f>
        <v>-2667.686522</v>
      </c>
      <c r="I79" s="13"/>
      <c r="J79" s="21">
        <f>IF(H$12=0,0,H79/H$12)</f>
        <v>-0.11107955204863425</v>
      </c>
      <c r="K79" s="15"/>
      <c r="L79" s="19">
        <f>+D79-H79</f>
        <v>-18313.133478</v>
      </c>
      <c r="M79" s="15"/>
      <c r="N79" s="21">
        <f>IF(H79=0,0,L79/H79)</f>
        <v>6.8647996408027732</v>
      </c>
      <c r="O79" s="26"/>
      <c r="P79" s="19">
        <f>+P22-P24+P77</f>
        <v>-54662.699999999983</v>
      </c>
      <c r="Q79" s="13"/>
      <c r="R79" s="21">
        <f>IF(P$12=0,0,P79/P$12)</f>
        <v>-22.072829470980864</v>
      </c>
      <c r="S79" s="13"/>
      <c r="T79" s="19">
        <f>+T22-T24+T77</f>
        <v>-34441.527113299991</v>
      </c>
      <c r="U79" s="13"/>
      <c r="V79" s="21">
        <f>IF(T$12=0,0,T79/T$12)</f>
        <v>-0.49828598254195589</v>
      </c>
      <c r="W79" s="15"/>
      <c r="X79" s="19">
        <f>+P79-T79</f>
        <v>-20221.172886699991</v>
      </c>
      <c r="Y79" s="15"/>
      <c r="Z79" s="21">
        <f>IF(T79=0,0,X79/T79)</f>
        <v>0.58711603641092192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40.89</v>
      </c>
      <c r="E81" s="4"/>
      <c r="F81" s="12">
        <f>IF(D$12=0,0,D81/D$12)</f>
        <v>0</v>
      </c>
      <c r="G81" s="4"/>
      <c r="H81" s="4">
        <v>4060</v>
      </c>
      <c r="I81" s="4"/>
      <c r="J81" s="12">
        <f>IF(H$12=0,0,H81/H$12)</f>
        <v>0.16905396402398401</v>
      </c>
      <c r="K81" s="4"/>
      <c r="L81" s="4">
        <f>+D81-H81</f>
        <v>-4019.11</v>
      </c>
      <c r="M81" s="4"/>
      <c r="N81" s="12">
        <f>IF(H81=0,0,L81/H81)</f>
        <v>-0.98992857142857149</v>
      </c>
      <c r="O81" s="10"/>
      <c r="P81" s="4">
        <v>490.43</v>
      </c>
      <c r="Q81" s="4"/>
      <c r="R81" s="12">
        <f>IF(P$12=0,0,P81/P$12)</f>
        <v>0.19803591402278242</v>
      </c>
      <c r="S81" s="4"/>
      <c r="T81" s="4">
        <v>11887</v>
      </c>
      <c r="U81" s="4"/>
      <c r="V81" s="12">
        <f>IF(T$12=0,0,T81/T$12)</f>
        <v>0.17197627314814815</v>
      </c>
      <c r="W81" s="4"/>
      <c r="X81" s="4">
        <f>+P81-T81</f>
        <v>-11396.57</v>
      </c>
      <c r="Y81" s="4"/>
      <c r="Z81" s="12">
        <f>IF(T81=0,0,X81/T81)</f>
        <v>-0.95874232354673172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4</v>
      </c>
      <c r="C83" s="25"/>
      <c r="D83" s="34">
        <f>+D79-D81</f>
        <v>-21021.71</v>
      </c>
      <c r="E83" s="13"/>
      <c r="F83" s="30">
        <f>IF(D$12=0,0,D83/D$12)</f>
        <v>0</v>
      </c>
      <c r="G83" s="13"/>
      <c r="H83" s="34">
        <f>+H79-H81</f>
        <v>-6727.686522</v>
      </c>
      <c r="I83" s="13"/>
      <c r="J83" s="30">
        <f>IF(H$12=0,0,H83/H$12)</f>
        <v>-0.28013351607261827</v>
      </c>
      <c r="K83" s="15"/>
      <c r="L83" s="34">
        <f>D83-H83</f>
        <v>-14294.023477999999</v>
      </c>
      <c r="M83" s="15"/>
      <c r="N83" s="30">
        <f>IF(H83=0,0,L83/H83)</f>
        <v>2.124656586072724</v>
      </c>
      <c r="O83" s="26"/>
      <c r="P83" s="34">
        <f>+P79-P81</f>
        <v>-55153.129999999983</v>
      </c>
      <c r="Q83" s="13"/>
      <c r="R83" s="30">
        <f>IF(P$12=0,0,P83/P$12)</f>
        <v>-22.270865385003646</v>
      </c>
      <c r="S83" s="13"/>
      <c r="T83" s="34">
        <f>+T79-T81</f>
        <v>-46328.527113299991</v>
      </c>
      <c r="U83" s="13"/>
      <c r="V83" s="30">
        <f>IF(T$12=0,0,T83/T$12)</f>
        <v>-0.670262255690104</v>
      </c>
      <c r="W83" s="15"/>
      <c r="X83" s="34">
        <f>P83-T83</f>
        <v>-8824.6028866999914</v>
      </c>
      <c r="Y83" s="15"/>
      <c r="Z83" s="30">
        <f>IF(T83=0,0,X83/T83)</f>
        <v>0.19047881373648559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5</v>
      </c>
      <c r="C86" s="25"/>
      <c r="D86" s="35">
        <f>SUM(D83:D85)</f>
        <v>-21021.71</v>
      </c>
      <c r="E86" s="13"/>
      <c r="F86" s="31">
        <f>IF(D$12=0,0,D86/D$12)</f>
        <v>0</v>
      </c>
      <c r="G86" s="13"/>
      <c r="H86" s="35">
        <f>SUM(H83:H85)</f>
        <v>-6727.686522</v>
      </c>
      <c r="I86" s="13"/>
      <c r="J86" s="31">
        <f>IF(H$12=0,0,H86/H$12)</f>
        <v>-0.28013351607261827</v>
      </c>
      <c r="K86" s="15"/>
      <c r="L86" s="35">
        <f>+D86-H86</f>
        <v>-14294.023477999999</v>
      </c>
      <c r="M86" s="15"/>
      <c r="N86" s="31">
        <f>IF(H86=0,0,L86/H86)</f>
        <v>2.124656586072724</v>
      </c>
      <c r="O86" s="26"/>
      <c r="P86" s="35">
        <f>SUM(P83:P85)</f>
        <v>-55153.129999999983</v>
      </c>
      <c r="Q86" s="13"/>
      <c r="R86" s="31">
        <f>IF(P$12=0,0,P86/P$12)</f>
        <v>-22.270865385003646</v>
      </c>
      <c r="S86" s="13"/>
      <c r="T86" s="35">
        <f>SUM(T83:T85)</f>
        <v>-46328.527113299991</v>
      </c>
      <c r="U86" s="13"/>
      <c r="V86" s="31">
        <f>IF(T$12=0,0,T86/T$12)</f>
        <v>-0.670262255690104</v>
      </c>
      <c r="W86" s="15"/>
      <c r="X86" s="35">
        <f>+P86-T86</f>
        <v>-8824.6028866999914</v>
      </c>
      <c r="Y86" s="15"/>
      <c r="Z86" s="31">
        <f>IF(T86=0,0,X86/T86)</f>
        <v>0.19047881373648559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3">
        <v>44267.671914664352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314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19">
        <f>D12-D15</f>
        <v>0</v>
      </c>
      <c r="E19" s="13"/>
      <c r="F19" s="21">
        <f>IF(D$12=0,0,D19/D$12)</f>
        <v>0</v>
      </c>
      <c r="G19" s="13"/>
      <c r="H19" s="19">
        <f>H12-H15</f>
        <v>0</v>
      </c>
      <c r="I19" s="13"/>
      <c r="J19" s="21">
        <f>IF(H$12=0,0,H19/H$12)</f>
        <v>0</v>
      </c>
      <c r="K19" s="15"/>
      <c r="L19" s="19">
        <f>+D19-H19</f>
        <v>0</v>
      </c>
      <c r="M19" s="15"/>
      <c r="N19" s="21">
        <f>IF(H19=0,0,L19/H19)</f>
        <v>0</v>
      </c>
      <c r="O19" s="26"/>
      <c r="P19" s="19">
        <f>P12-P15</f>
        <v>1222.33</v>
      </c>
      <c r="Q19" s="13"/>
      <c r="R19" s="21">
        <f>IF(P$12=0,0,P19/P$12)</f>
        <v>0</v>
      </c>
      <c r="S19" s="13"/>
      <c r="T19" s="19">
        <f>T12-T15</f>
        <v>0</v>
      </c>
      <c r="U19" s="13"/>
      <c r="V19" s="21">
        <f>IF(T$12=0,0,T19/T$12)</f>
        <v>0</v>
      </c>
      <c r="W19" s="15"/>
      <c r="X19" s="19">
        <f>+P19-T19</f>
        <v>1222.33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2225.34</v>
      </c>
      <c r="E21" s="20"/>
      <c r="F21" s="33">
        <f t="shared" ref="F21:F30" si="12">IF(D$12=0,0,D21/D$12)</f>
        <v>0</v>
      </c>
      <c r="G21" s="20"/>
      <c r="H21" s="20">
        <f>SUM(OSRRefH22x_0)</f>
        <v>2017</v>
      </c>
      <c r="I21" s="20"/>
      <c r="J21" s="33">
        <f t="shared" ref="J21:J30" si="13">IF(H$12=0,0,H21/H$12)</f>
        <v>0</v>
      </c>
      <c r="K21" s="4"/>
      <c r="L21" s="20">
        <f t="shared" ref="L21:L30" si="14">+D21-H21</f>
        <v>208.34000000000015</v>
      </c>
      <c r="M21" s="4"/>
      <c r="N21" s="33">
        <f t="shared" ref="N21:N30" si="15">IF(H21=0,0,L21/H21)</f>
        <v>0.10329201784828961</v>
      </c>
      <c r="O21" s="10"/>
      <c r="P21" s="20">
        <f>SUM(OSRRefP22x_0)</f>
        <v>20240.969999999998</v>
      </c>
      <c r="Q21" s="20"/>
      <c r="R21" s="33">
        <f t="shared" ref="R21:R30" si="16">IF(P$12=0,0,P21/P$12)</f>
        <v>0</v>
      </c>
      <c r="S21" s="20"/>
      <c r="T21" s="20">
        <f>SUM(OSRRefT22x_0)</f>
        <v>16136</v>
      </c>
      <c r="U21" s="20"/>
      <c r="V21" s="33">
        <f t="shared" ref="V21:V30" si="17">IF(T$12=0,0,T21/T$12)</f>
        <v>0</v>
      </c>
      <c r="W21" s="4"/>
      <c r="X21" s="20">
        <f t="shared" ref="X21:X30" si="18">+P21-T21</f>
        <v>4104.9699999999975</v>
      </c>
      <c r="Y21" s="4"/>
      <c r="Z21" s="33">
        <f t="shared" ref="Z21:Z30" si="19">IF(T21=0,0,X21/T21)</f>
        <v>0.254398239960337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8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16138.72</v>
      </c>
      <c r="Q46" s="1"/>
      <c r="R46" s="5">
        <f t="shared" si="32"/>
        <v>0</v>
      </c>
      <c r="S46" s="1"/>
      <c r="T46" s="1">
        <f>SUM(OSRRefT22_4x_0)</f>
        <v>16136</v>
      </c>
      <c r="U46" s="1"/>
      <c r="V46" s="5">
        <f t="shared" si="33"/>
        <v>0</v>
      </c>
      <c r="W46" s="1"/>
      <c r="X46" s="1">
        <f t="shared" si="34"/>
        <v>2.7199999999993452</v>
      </c>
      <c r="Y46" s="1"/>
      <c r="Z46" s="5">
        <f t="shared" si="35"/>
        <v>1.6856717897864064E-4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16138.72</v>
      </c>
      <c r="Q47" s="2"/>
      <c r="R47" s="6">
        <f t="shared" si="32"/>
        <v>0</v>
      </c>
      <c r="S47" s="2"/>
      <c r="T47" s="7">
        <v>16136</v>
      </c>
      <c r="U47" s="2"/>
      <c r="V47" s="6">
        <f t="shared" si="33"/>
        <v>0</v>
      </c>
      <c r="W47" s="2"/>
      <c r="X47" s="7">
        <f t="shared" si="34"/>
        <v>2.7199999999993452</v>
      </c>
      <c r="Y47" s="2"/>
      <c r="Z47" s="6">
        <f t="shared" si="35"/>
        <v>1.6856717897864064E-4</v>
      </c>
    </row>
    <row r="48" spans="1:26" s="28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8" customFormat="1" outlineLevel="1" collapsed="1" x14ac:dyDescent="0.25">
      <c r="A50" s="29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7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8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SUM(OSRRefP22_7x_0)</f>
        <v>223.3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223.3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223.3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223.3</v>
      </c>
      <c r="Y53" s="2"/>
      <c r="Z53" s="6">
        <f t="shared" si="35"/>
        <v>0</v>
      </c>
    </row>
    <row r="54" spans="1:26" s="24" customFormat="1" hidden="1" outlineLevel="2" x14ac:dyDescent="0.2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8" customFormat="1" outlineLevel="1" collapsed="1" x14ac:dyDescent="0.25">
      <c r="A55" s="29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7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7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8" customFormat="1" outlineLevel="1" collapsed="1" x14ac:dyDescent="0.25">
      <c r="A58" s="29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7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7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7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8" customFormat="1" outlineLevel="1" collapsed="1" x14ac:dyDescent="0.25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8" customFormat="1" outlineLevel="1" collapsed="1" x14ac:dyDescent="0.25">
      <c r="A65" s="29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4"/>
      <c r="P65" s="1">
        <f>SUM(OSRRefP22_11x_0)</f>
        <v>1040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1040</v>
      </c>
      <c r="Y65" s="1"/>
      <c r="Z65" s="5">
        <f t="shared" si="59"/>
        <v>0</v>
      </c>
    </row>
    <row r="66" spans="1:26" s="24" customFormat="1" hidden="1" outlineLevel="2" x14ac:dyDescent="0.25">
      <c r="A66" s="27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1040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1040</v>
      </c>
      <c r="Y66" s="2"/>
      <c r="Z66" s="6">
        <f t="shared" si="59"/>
        <v>0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19">
        <f>+D19-D21+D68</f>
        <v>-2225.34</v>
      </c>
      <c r="E70" s="13"/>
      <c r="F70" s="21">
        <f>IF(D$12=0,0,D70/D$12)</f>
        <v>0</v>
      </c>
      <c r="G70" s="13"/>
      <c r="H70" s="19">
        <f>+H19-H21+H68</f>
        <v>-2017</v>
      </c>
      <c r="I70" s="13"/>
      <c r="J70" s="21">
        <f>IF(H$12=0,0,H70/H$12)</f>
        <v>0</v>
      </c>
      <c r="K70" s="15"/>
      <c r="L70" s="19">
        <f>+D70-H70</f>
        <v>-208.34000000000015</v>
      </c>
      <c r="M70" s="15"/>
      <c r="N70" s="21">
        <f>IF(H70=0,0,L70/H70)</f>
        <v>0.10329201784828961</v>
      </c>
      <c r="O70" s="26"/>
      <c r="P70" s="19">
        <f>+P19-P21+P68</f>
        <v>-19018.64</v>
      </c>
      <c r="Q70" s="13"/>
      <c r="R70" s="21">
        <f>IF(P$12=0,0,P70/P$12)</f>
        <v>0</v>
      </c>
      <c r="S70" s="13"/>
      <c r="T70" s="19">
        <f>+T19-T21+T68</f>
        <v>-16136</v>
      </c>
      <c r="U70" s="13"/>
      <c r="V70" s="21">
        <f>IF(T$12=0,0,T70/T$12)</f>
        <v>0</v>
      </c>
      <c r="W70" s="15"/>
      <c r="X70" s="19">
        <f>+P70-T70</f>
        <v>-2882.6399999999994</v>
      </c>
      <c r="Y70" s="15"/>
      <c r="Z70" s="21">
        <f>IF(T70=0,0,X70/T70)</f>
        <v>0.17864650470996526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4">
        <f>+D70-D72</f>
        <v>-2225.34</v>
      </c>
      <c r="E74" s="13"/>
      <c r="F74" s="30">
        <f>IF(D$12=0,0,D74/D$12)</f>
        <v>0</v>
      </c>
      <c r="G74" s="13"/>
      <c r="H74" s="34">
        <f>+H70-H72</f>
        <v>-2017</v>
      </c>
      <c r="I74" s="13"/>
      <c r="J74" s="30">
        <f>IF(H$12=0,0,H74/H$12)</f>
        <v>0</v>
      </c>
      <c r="K74" s="15"/>
      <c r="L74" s="34">
        <f>D74-H74</f>
        <v>-208.34000000000015</v>
      </c>
      <c r="M74" s="15"/>
      <c r="N74" s="30">
        <f>IF(H74=0,0,L74/H74)</f>
        <v>0.10329201784828961</v>
      </c>
      <c r="O74" s="26"/>
      <c r="P74" s="34">
        <f>+P70-P72</f>
        <v>-19018.64</v>
      </c>
      <c r="Q74" s="13"/>
      <c r="R74" s="30">
        <f>IF(P$12=0,0,P74/P$12)</f>
        <v>0</v>
      </c>
      <c r="S74" s="13"/>
      <c r="T74" s="34">
        <f>+T70-T72</f>
        <v>-16136</v>
      </c>
      <c r="U74" s="13"/>
      <c r="V74" s="30">
        <f>IF(T$12=0,0,T74/T$12)</f>
        <v>0</v>
      </c>
      <c r="W74" s="15"/>
      <c r="X74" s="34">
        <f>P74-T74</f>
        <v>-2882.6399999999994</v>
      </c>
      <c r="Y74" s="15"/>
      <c r="Z74" s="30">
        <f>IF(T74=0,0,X74/T74)</f>
        <v>0.17864650470996526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5">
        <f>SUM(D74:D76)</f>
        <v>-2225.34</v>
      </c>
      <c r="E77" s="13"/>
      <c r="F77" s="31">
        <f>IF(D$12=0,0,D77/D$12)</f>
        <v>0</v>
      </c>
      <c r="G77" s="13"/>
      <c r="H77" s="35">
        <f>SUM(H74:H76)</f>
        <v>-2017</v>
      </c>
      <c r="I77" s="13"/>
      <c r="J77" s="31">
        <f>IF(H$12=0,0,H77/H$12)</f>
        <v>0</v>
      </c>
      <c r="K77" s="15"/>
      <c r="L77" s="35">
        <f>+D77-H77</f>
        <v>-208.34000000000015</v>
      </c>
      <c r="M77" s="15"/>
      <c r="N77" s="31">
        <f>IF(H77=0,0,L77/H77)</f>
        <v>0.10329201784828961</v>
      </c>
      <c r="O77" s="26"/>
      <c r="P77" s="35">
        <f>SUM(P74:P76)</f>
        <v>-19018.64</v>
      </c>
      <c r="Q77" s="13"/>
      <c r="R77" s="31">
        <f>IF(P$12=0,0,P77/P$12)</f>
        <v>0</v>
      </c>
      <c r="S77" s="13"/>
      <c r="T77" s="35">
        <f>SUM(T74:T76)</f>
        <v>-16136</v>
      </c>
      <c r="U77" s="13"/>
      <c r="V77" s="31">
        <f>IF(T$12=0,0,T77/T$12)</f>
        <v>0</v>
      </c>
      <c r="W77" s="15"/>
      <c r="X77" s="35">
        <f>+P77-T77</f>
        <v>-2882.6399999999994</v>
      </c>
      <c r="Y77" s="15"/>
      <c r="Z77" s="31">
        <f>IF(T77=0,0,X77/T77)</f>
        <v>0.17864650470996526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3">
        <v>44267.67192734954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2" t="s">
        <v>314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7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50578</v>
      </c>
      <c r="I12" s="4"/>
      <c r="J12" s="12"/>
      <c r="K12" s="4"/>
      <c r="L12" s="4">
        <f t="shared" ref="L12:L14" si="0">+D12-H12</f>
        <v>-50578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165066</v>
      </c>
      <c r="U12" s="4"/>
      <c r="V12" s="12"/>
      <c r="W12" s="4"/>
      <c r="X12" s="4">
        <f t="shared" ref="X12:X14" si="2">+P12-T12</f>
        <v>-165066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8965</v>
      </c>
      <c r="I13" s="2"/>
      <c r="J13" s="22"/>
      <c r="K13" s="2"/>
      <c r="L13" s="2">
        <f t="shared" si="0"/>
        <v>-8965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29702</v>
      </c>
      <c r="U13" s="2"/>
      <c r="V13" s="22"/>
      <c r="W13" s="2"/>
      <c r="X13" s="2">
        <f t="shared" si="2"/>
        <v>-29702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41613</v>
      </c>
      <c r="I14" s="2"/>
      <c r="J14" s="22"/>
      <c r="K14" s="2"/>
      <c r="L14" s="2">
        <f t="shared" si="0"/>
        <v>-41613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135364</v>
      </c>
      <c r="U14" s="2"/>
      <c r="V14" s="22"/>
      <c r="W14" s="2"/>
      <c r="X14" s="2">
        <f t="shared" si="2"/>
        <v>-135364</v>
      </c>
      <c r="Y14" s="2"/>
      <c r="Z14" s="22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9" si="6">IF(D$12=0,0,D16/D$12)</f>
        <v>0</v>
      </c>
      <c r="G16" s="4"/>
      <c r="H16" s="4">
        <f>SUM(OSRRefH16x_0)</f>
        <v>24277</v>
      </c>
      <c r="I16" s="4"/>
      <c r="J16" s="12">
        <f t="shared" ref="J16:J19" si="7">IF(H$12=0,0,H16/H$12)</f>
        <v>0.47999130056546324</v>
      </c>
      <c r="K16" s="4"/>
      <c r="L16" s="4">
        <f t="shared" ref="L16:L19" si="8">+D16-H16</f>
        <v>-24277</v>
      </c>
      <c r="M16" s="4"/>
      <c r="N16" s="12">
        <f t="shared" ref="N16:N19" si="9">IF(H16=0,0,L16/H16)</f>
        <v>-1</v>
      </c>
      <c r="O16" s="10"/>
      <c r="P16" s="4">
        <f>SUM(OSRRefP16x_0)</f>
        <v>10641.24</v>
      </c>
      <c r="Q16" s="4"/>
      <c r="R16" s="12">
        <f t="shared" ref="R16:R19" si="10">IF(P$12=0,0,P16/P$12)</f>
        <v>0</v>
      </c>
      <c r="S16" s="4"/>
      <c r="T16" s="4">
        <f>SUM(OSRRefT16x_0)</f>
        <v>68280</v>
      </c>
      <c r="U16" s="4"/>
      <c r="V16" s="12">
        <f t="shared" ref="V16:V19" si="11">IF(T$12=0,0,T16/T$12)</f>
        <v>0.41365272072988984</v>
      </c>
      <c r="W16" s="4"/>
      <c r="X16" s="4">
        <f t="shared" ref="X16:X19" si="12">+P16-T16</f>
        <v>-57638.76</v>
      </c>
      <c r="Y16" s="4"/>
      <c r="Z16" s="12">
        <f t="shared" ref="Z16:Z19" si="13">IF(T16=0,0,X16/T16)</f>
        <v>-0.84415289982425312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24277</v>
      </c>
      <c r="I17" s="2"/>
      <c r="J17" s="22">
        <f t="shared" si="7"/>
        <v>0.47999130056546324</v>
      </c>
      <c r="K17" s="2"/>
      <c r="L17" s="2">
        <f t="shared" si="8"/>
        <v>-24277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68280</v>
      </c>
      <c r="U17" s="2"/>
      <c r="V17" s="22">
        <f t="shared" si="11"/>
        <v>0.41365272072988984</v>
      </c>
      <c r="W17" s="2"/>
      <c r="X17" s="2">
        <f t="shared" si="12"/>
        <v>-68280</v>
      </c>
      <c r="Y17" s="2"/>
      <c r="Z17" s="22">
        <f t="shared" si="13"/>
        <v>-1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0</v>
      </c>
      <c r="M18" s="2"/>
      <c r="N18" s="22">
        <f t="shared" si="9"/>
        <v>0</v>
      </c>
      <c r="O18" s="11"/>
      <c r="P18" s="2">
        <v>-987.76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-987.76</v>
      </c>
      <c r="Y18" s="2"/>
      <c r="Z18" s="22">
        <f t="shared" si="13"/>
        <v>0</v>
      </c>
    </row>
    <row r="19" spans="1:26" s="24" customFormat="1" hidden="1" outlineLevel="1" x14ac:dyDescent="0.25">
      <c r="A19" s="51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22">
        <f t="shared" si="6"/>
        <v>0</v>
      </c>
      <c r="G19" s="2"/>
      <c r="H19" s="2"/>
      <c r="I19" s="2"/>
      <c r="J19" s="22">
        <f t="shared" si="7"/>
        <v>0</v>
      </c>
      <c r="K19" s="2"/>
      <c r="L19" s="2">
        <f t="shared" si="8"/>
        <v>0</v>
      </c>
      <c r="M19" s="2"/>
      <c r="N19" s="22">
        <f t="shared" si="9"/>
        <v>0</v>
      </c>
      <c r="O19" s="11"/>
      <c r="P19" s="2">
        <v>11629</v>
      </c>
      <c r="Q19" s="2"/>
      <c r="R19" s="22">
        <f t="shared" si="10"/>
        <v>0</v>
      </c>
      <c r="S19" s="2"/>
      <c r="T19" s="2"/>
      <c r="U19" s="2"/>
      <c r="V19" s="22">
        <f t="shared" si="11"/>
        <v>0</v>
      </c>
      <c r="W19" s="2"/>
      <c r="X19" s="2">
        <f t="shared" si="12"/>
        <v>11629</v>
      </c>
      <c r="Y19" s="2"/>
      <c r="Z19" s="22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19">
        <f>D12-D16</f>
        <v>0</v>
      </c>
      <c r="E21" s="13"/>
      <c r="F21" s="21">
        <f>IF(D$12=0,0,D21/D$12)</f>
        <v>0</v>
      </c>
      <c r="G21" s="13"/>
      <c r="H21" s="19">
        <f>H12-H16</f>
        <v>26301</v>
      </c>
      <c r="I21" s="13"/>
      <c r="J21" s="21">
        <f>IF(H$12=0,0,H21/H$12)</f>
        <v>0.52000869943453676</v>
      </c>
      <c r="K21" s="15"/>
      <c r="L21" s="19">
        <f>+D21-H21</f>
        <v>-26301</v>
      </c>
      <c r="M21" s="15"/>
      <c r="N21" s="21">
        <f>IF(H21=0,0,L21/H21)</f>
        <v>-1</v>
      </c>
      <c r="O21" s="26"/>
      <c r="P21" s="19">
        <f>P12-P16</f>
        <v>-10641.24</v>
      </c>
      <c r="Q21" s="13"/>
      <c r="R21" s="21">
        <f>IF(P$12=0,0,P21/P$12)</f>
        <v>0</v>
      </c>
      <c r="S21" s="13"/>
      <c r="T21" s="19">
        <f>T12-T16</f>
        <v>96786</v>
      </c>
      <c r="U21" s="13"/>
      <c r="V21" s="21">
        <f>IF(T$12=0,0,T21/T$12)</f>
        <v>0.5863472792701101</v>
      </c>
      <c r="W21" s="15"/>
      <c r="X21" s="19">
        <f>+P21-T21</f>
        <v>-107427.24</v>
      </c>
      <c r="Y21" s="15"/>
      <c r="Z21" s="21">
        <f>IF(T21=0,0,X21/T21)</f>
        <v>-1.1099460665798773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11082.15</v>
      </c>
      <c r="E23" s="20"/>
      <c r="F23" s="33">
        <f t="shared" ref="F23:F32" si="14">IF(D$12=0,0,D23/D$12)</f>
        <v>0</v>
      </c>
      <c r="G23" s="20"/>
      <c r="H23" s="20">
        <f>SUM(OSRRefH22x_0)</f>
        <v>31432.084783999999</v>
      </c>
      <c r="I23" s="20"/>
      <c r="J23" s="33">
        <f t="shared" ref="J23:J32" si="15">IF(H$12=0,0,H23/H$12)</f>
        <v>0.62145764530032821</v>
      </c>
      <c r="K23" s="4"/>
      <c r="L23" s="20">
        <f t="shared" ref="L23:L32" si="16">+D23-H23</f>
        <v>-20349.934783999997</v>
      </c>
      <c r="M23" s="4"/>
      <c r="N23" s="33">
        <f t="shared" ref="N23:N32" si="17">IF(H23=0,0,L23/H23)</f>
        <v>-0.64742555016136905</v>
      </c>
      <c r="O23" s="10"/>
      <c r="P23" s="20">
        <f>SUM(OSRRefP22x_0)</f>
        <v>91515.72</v>
      </c>
      <c r="Q23" s="20"/>
      <c r="R23" s="33">
        <f t="shared" ref="R23:R32" si="18">IF(P$12=0,0,P23/P$12)</f>
        <v>0</v>
      </c>
      <c r="S23" s="20"/>
      <c r="T23" s="20">
        <f>SUM(OSRRefT22x_0)</f>
        <v>222758.10818400001</v>
      </c>
      <c r="U23" s="20"/>
      <c r="V23" s="33">
        <f t="shared" ref="V23:V32" si="19">IF(T$12=0,0,T23/T$12)</f>
        <v>1.3495093367743811</v>
      </c>
      <c r="W23" s="4"/>
      <c r="X23" s="20">
        <f t="shared" ref="X23:X32" si="20">+P23-T23</f>
        <v>-131242.38818400001</v>
      </c>
      <c r="Y23" s="4"/>
      <c r="Z23" s="33">
        <f t="shared" ref="Z23:Z32" si="21">IF(T23=0,0,X23/T23)</f>
        <v>-0.58916997120299086</v>
      </c>
    </row>
    <row r="24" spans="1:26" s="28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3622.5807839999998</v>
      </c>
      <c r="I24" s="1"/>
      <c r="J24" s="5">
        <f t="shared" si="15"/>
        <v>7.1623646328443188E-2</v>
      </c>
      <c r="K24" s="1"/>
      <c r="L24" s="1">
        <f t="shared" si="16"/>
        <v>-3622.5807839999998</v>
      </c>
      <c r="M24" s="1"/>
      <c r="N24" s="5">
        <f t="shared" si="17"/>
        <v>-1</v>
      </c>
      <c r="O24" s="14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28086.860183999997</v>
      </c>
      <c r="U24" s="1"/>
      <c r="V24" s="5">
        <f t="shared" si="19"/>
        <v>0.17015533292137688</v>
      </c>
      <c r="W24" s="1"/>
      <c r="X24" s="1">
        <f t="shared" si="20"/>
        <v>-25197.140183999996</v>
      </c>
      <c r="Y24" s="1"/>
      <c r="Z24" s="5">
        <f t="shared" si="21"/>
        <v>-0.89711487930408951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343.83398399999999</v>
      </c>
      <c r="I25" s="2"/>
      <c r="J25" s="6">
        <f t="shared" si="15"/>
        <v>6.7980937166356907E-3</v>
      </c>
      <c r="K25" s="2"/>
      <c r="L25" s="7">
        <f t="shared" si="16"/>
        <v>-343.83398399999999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2902.6910640000001</v>
      </c>
      <c r="U25" s="2"/>
      <c r="V25" s="6">
        <f t="shared" si="19"/>
        <v>1.7585033041328923E-2</v>
      </c>
      <c r="W25" s="2"/>
      <c r="X25" s="7">
        <f t="shared" si="20"/>
        <v>-2743.5710640000002</v>
      </c>
      <c r="Y25" s="2"/>
      <c r="Z25" s="6">
        <f t="shared" si="21"/>
        <v>-0.94518190310589667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216.45</v>
      </c>
      <c r="I26" s="2"/>
      <c r="J26" s="6">
        <f t="shared" si="15"/>
        <v>4.279528648819645E-3</v>
      </c>
      <c r="K26" s="2"/>
      <c r="L26" s="7">
        <f t="shared" si="16"/>
        <v>-216.45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1284.8471999999999</v>
      </c>
      <c r="U26" s="2"/>
      <c r="V26" s="6">
        <f t="shared" si="19"/>
        <v>7.7838391915960887E-3</v>
      </c>
      <c r="W26" s="2"/>
      <c r="X26" s="7">
        <f t="shared" si="20"/>
        <v>-1284.8471999999999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3.9147455415397998E-2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15840</v>
      </c>
      <c r="U27" s="2"/>
      <c r="V27" s="6">
        <f t="shared" si="19"/>
        <v>9.5961615353858457E-2</v>
      </c>
      <c r="W27" s="2"/>
      <c r="X27" s="7">
        <f t="shared" si="20"/>
        <v>-13924.369999999999</v>
      </c>
      <c r="Y27" s="2"/>
      <c r="Z27" s="6">
        <f t="shared" si="21"/>
        <v>-0.87906376262626251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30.42</v>
      </c>
      <c r="I28" s="2"/>
      <c r="J28" s="6">
        <f t="shared" si="15"/>
        <v>6.0144726956384202E-4</v>
      </c>
      <c r="K28" s="2"/>
      <c r="L28" s="7">
        <f t="shared" si="16"/>
        <v>-30.42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180.57311999999999</v>
      </c>
      <c r="U28" s="2"/>
      <c r="V28" s="6">
        <f t="shared" si="19"/>
        <v>1.0939449674675584E-3</v>
      </c>
      <c r="W28" s="2"/>
      <c r="X28" s="7">
        <f t="shared" si="20"/>
        <v>-180.57311999999999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386.38080000000002</v>
      </c>
      <c r="I29" s="2"/>
      <c r="J29" s="6">
        <f t="shared" si="15"/>
        <v>7.63930562695243E-3</v>
      </c>
      <c r="K29" s="2"/>
      <c r="L29" s="7">
        <f t="shared" si="16"/>
        <v>-386.38080000000002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3194.7968000000001</v>
      </c>
      <c r="U29" s="2"/>
      <c r="V29" s="6">
        <f t="shared" si="19"/>
        <v>1.9354662983291533E-2</v>
      </c>
      <c r="W29" s="2"/>
      <c r="X29" s="7">
        <f t="shared" si="20"/>
        <v>-2735.9068000000002</v>
      </c>
      <c r="Y29" s="2"/>
      <c r="Z29" s="6">
        <f t="shared" si="21"/>
        <v>-0.85636332176118368</v>
      </c>
    </row>
    <row r="30" spans="1:26" s="24" customFormat="1" hidden="1" outlineLevel="2" x14ac:dyDescent="0.25">
      <c r="A30" s="27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224.64</v>
      </c>
      <c r="I31" s="2"/>
      <c r="J31" s="6">
        <f t="shared" si="15"/>
        <v>4.4414567598560634E-3</v>
      </c>
      <c r="K31" s="2"/>
      <c r="L31" s="7">
        <f t="shared" si="16"/>
        <v>-224.64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1857.44</v>
      </c>
      <c r="U31" s="2"/>
      <c r="V31" s="6">
        <f t="shared" si="19"/>
        <v>1.1252711036797402E-2</v>
      </c>
      <c r="W31" s="2"/>
      <c r="X31" s="7">
        <f t="shared" si="20"/>
        <v>-1705.3400000000001</v>
      </c>
      <c r="Y31" s="2"/>
      <c r="Z31" s="6">
        <f t="shared" si="21"/>
        <v>-0.91811310190369544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440.85599999999999</v>
      </c>
      <c r="I32" s="2"/>
      <c r="J32" s="6">
        <f t="shared" si="15"/>
        <v>8.7163588912175256E-3</v>
      </c>
      <c r="K32" s="2"/>
      <c r="L32" s="7">
        <f t="shared" si="16"/>
        <v>-440.85599999999999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2826.5120000000002</v>
      </c>
      <c r="U32" s="2"/>
      <c r="V32" s="6">
        <f t="shared" si="19"/>
        <v>1.7123526347036944E-2</v>
      </c>
      <c r="W32" s="2"/>
      <c r="X32" s="7">
        <f t="shared" si="20"/>
        <v>-2622.5320000000002</v>
      </c>
      <c r="Y32" s="2"/>
      <c r="Z32" s="6">
        <f t="shared" si="21"/>
        <v>-0.92783331540782421</v>
      </c>
    </row>
    <row r="33" spans="1:26" s="28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11034.504000000001</v>
      </c>
      <c r="I33" s="1"/>
      <c r="J33" s="5">
        <f t="shared" ref="J33:J43" si="23">IF(H$12=0,0,H33/H$12)</f>
        <v>0.21816805725809643</v>
      </c>
      <c r="K33" s="1"/>
      <c r="L33" s="1">
        <f t="shared" ref="L33:L43" si="24">+D33-H33</f>
        <v>-11034.504000000001</v>
      </c>
      <c r="M33" s="1"/>
      <c r="N33" s="5">
        <f t="shared" ref="N33:N43" si="25">IF(H33=0,0,L33/H33)</f>
        <v>-1</v>
      </c>
      <c r="O33" s="14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64767.248</v>
      </c>
      <c r="U33" s="1"/>
      <c r="V33" s="5">
        <f t="shared" ref="V33:V43" si="27">IF(T$12=0,0,T33/T$12)</f>
        <v>0.39237182702676504</v>
      </c>
      <c r="W33" s="1"/>
      <c r="X33" s="1">
        <f t="shared" ref="X33:X43" si="28">+P33-T33</f>
        <v>-63883.248</v>
      </c>
      <c r="Y33" s="1"/>
      <c r="Z33" s="5">
        <f t="shared" ref="Z33:Z43" si="29">IF(T33=0,0,X33/T33)</f>
        <v>-0.98635112611238318</v>
      </c>
    </row>
    <row r="34" spans="1:26" s="24" customFormat="1" hidden="1" outlineLevel="2" x14ac:dyDescent="0.25">
      <c r="A34" s="27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4043.52</v>
      </c>
      <c r="I35" s="2"/>
      <c r="J35" s="6">
        <f t="shared" si="23"/>
        <v>7.9946221677409154E-2</v>
      </c>
      <c r="K35" s="2"/>
      <c r="L35" s="7">
        <f t="shared" si="24"/>
        <v>-4043.52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33433.919999999998</v>
      </c>
      <c r="U35" s="2"/>
      <c r="V35" s="6">
        <f t="shared" si="27"/>
        <v>0.20254879866235323</v>
      </c>
      <c r="W35" s="2"/>
      <c r="X35" s="7">
        <f t="shared" si="28"/>
        <v>-32549.919999999998</v>
      </c>
      <c r="Y35" s="2"/>
      <c r="Z35" s="6">
        <f t="shared" si="29"/>
        <v>-0.9735597859897972</v>
      </c>
    </row>
    <row r="36" spans="1:26" s="24" customFormat="1" hidden="1" outlineLevel="2" x14ac:dyDescent="0.25">
      <c r="A36" s="27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7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1815.84</v>
      </c>
      <c r="I38" s="2"/>
      <c r="J38" s="6">
        <f t="shared" si="23"/>
        <v>3.5901775475503182E-2</v>
      </c>
      <c r="K38" s="2"/>
      <c r="L38" s="7">
        <f t="shared" si="24"/>
        <v>-1815.84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10040.082</v>
      </c>
      <c r="U38" s="2"/>
      <c r="V38" s="6">
        <f t="shared" si="27"/>
        <v>6.0824651957398862E-2</v>
      </c>
      <c r="W38" s="2"/>
      <c r="X38" s="7">
        <f t="shared" si="28"/>
        <v>-10040.082</v>
      </c>
      <c r="Y38" s="2"/>
      <c r="Z38" s="6">
        <f t="shared" si="29"/>
        <v>-1</v>
      </c>
    </row>
    <row r="39" spans="1:26" s="24" customFormat="1" hidden="1" outlineLevel="2" x14ac:dyDescent="0.25">
      <c r="A39" s="27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4.5836210970157396E-3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5175.1440000000002</v>
      </c>
      <c r="I41" s="2"/>
      <c r="J41" s="6">
        <f t="shared" si="23"/>
        <v>0.10232006010518407</v>
      </c>
      <c r="K41" s="2"/>
      <c r="L41" s="7">
        <f t="shared" si="24"/>
        <v>-5175.1440000000002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20536.646000000001</v>
      </c>
      <c r="U41" s="2"/>
      <c r="V41" s="6">
        <f t="shared" si="27"/>
        <v>0.12441475530999721</v>
      </c>
      <c r="W41" s="2"/>
      <c r="X41" s="7">
        <f t="shared" si="28"/>
        <v>-20536.646000000001</v>
      </c>
      <c r="Y41" s="2"/>
      <c r="Z41" s="6">
        <f t="shared" si="29"/>
        <v>-1</v>
      </c>
    </row>
    <row r="42" spans="1:26" s="24" customFormat="1" hidden="1" outlineLevel="2" x14ac:dyDescent="0.25">
      <c r="A42" s="27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7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239</v>
      </c>
      <c r="I44" s="1"/>
      <c r="J44" s="5">
        <f t="shared" ref="J44:J52" si="31">IF(H$12=0,0,H44/H$12)</f>
        <v>4.7253746688283443E-3</v>
      </c>
      <c r="K44" s="1"/>
      <c r="L44" s="1">
        <f t="shared" ref="L44:L52" si="32">+D44-H44</f>
        <v>-239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969</v>
      </c>
      <c r="U44" s="1"/>
      <c r="V44" s="5">
        <f t="shared" ref="V44:V52" si="35">IF(T$12=0,0,T44/T$12)</f>
        <v>5.8703791210788416E-3</v>
      </c>
      <c r="W44" s="1"/>
      <c r="X44" s="1">
        <f t="shared" ref="X44:X52" si="36">+P44-T44</f>
        <v>-969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239</v>
      </c>
      <c r="I45" s="2"/>
      <c r="J45" s="6">
        <f t="shared" si="31"/>
        <v>4.7253746688283443E-3</v>
      </c>
      <c r="K45" s="2"/>
      <c r="L45" s="7">
        <f t="shared" si="32"/>
        <v>-239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969</v>
      </c>
      <c r="U45" s="2"/>
      <c r="V45" s="6">
        <f t="shared" si="35"/>
        <v>5.8703791210788416E-3</v>
      </c>
      <c r="W45" s="2"/>
      <c r="X45" s="7">
        <f t="shared" si="36"/>
        <v>-969</v>
      </c>
      <c r="Y45" s="2"/>
      <c r="Z45" s="6">
        <f t="shared" si="37"/>
        <v>-1</v>
      </c>
    </row>
    <row r="46" spans="1:26" s="28" customFormat="1" outlineLevel="1" collapsed="1" x14ac:dyDescent="0.25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5</v>
      </c>
      <c r="I46" s="1"/>
      <c r="J46" s="5">
        <f t="shared" si="31"/>
        <v>9.8857210644944445E-5</v>
      </c>
      <c r="K46" s="1"/>
      <c r="L46" s="1">
        <f t="shared" si="32"/>
        <v>-5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64</v>
      </c>
      <c r="U46" s="1"/>
      <c r="V46" s="5">
        <f t="shared" si="35"/>
        <v>3.8772369839942811E-4</v>
      </c>
      <c r="W46" s="1"/>
      <c r="X46" s="1">
        <f t="shared" si="36"/>
        <v>-64</v>
      </c>
      <c r="Y46" s="1"/>
      <c r="Z46" s="5">
        <f t="shared" si="37"/>
        <v>-1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5</v>
      </c>
      <c r="I47" s="2"/>
      <c r="J47" s="6">
        <f t="shared" si="31"/>
        <v>9.8857210644944445E-5</v>
      </c>
      <c r="K47" s="2"/>
      <c r="L47" s="7">
        <f t="shared" si="32"/>
        <v>-5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64</v>
      </c>
      <c r="U47" s="2"/>
      <c r="V47" s="6">
        <f t="shared" si="35"/>
        <v>3.8772369839942811E-4</v>
      </c>
      <c r="W47" s="2"/>
      <c r="X47" s="7">
        <f t="shared" si="36"/>
        <v>-64</v>
      </c>
      <c r="Y47" s="2"/>
      <c r="Z47" s="6">
        <f t="shared" si="37"/>
        <v>-1</v>
      </c>
    </row>
    <row r="48" spans="1:26" s="28" customFormat="1" outlineLevel="1" collapsed="1" x14ac:dyDescent="0.25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4250</v>
      </c>
      <c r="I48" s="1"/>
      <c r="J48" s="5">
        <f t="shared" si="31"/>
        <v>8.4028629048202783E-2</v>
      </c>
      <c r="K48" s="1"/>
      <c r="L48" s="1">
        <f t="shared" si="32"/>
        <v>-4250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20632</v>
      </c>
      <c r="U48" s="1"/>
      <c r="V48" s="5">
        <f t="shared" si="35"/>
        <v>0.12499242727151563</v>
      </c>
      <c r="W48" s="1"/>
      <c r="X48" s="1">
        <f t="shared" si="36"/>
        <v>-20632</v>
      </c>
      <c r="Y48" s="1"/>
      <c r="Z48" s="5">
        <f t="shared" si="37"/>
        <v>-1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4250</v>
      </c>
      <c r="I49" s="2"/>
      <c r="J49" s="6">
        <f t="shared" si="31"/>
        <v>8.4028629048202783E-2</v>
      </c>
      <c r="K49" s="2"/>
      <c r="L49" s="7">
        <f t="shared" si="32"/>
        <v>-4250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20632</v>
      </c>
      <c r="U49" s="2"/>
      <c r="V49" s="6">
        <f t="shared" si="35"/>
        <v>0.12499242727151563</v>
      </c>
      <c r="W49" s="2"/>
      <c r="X49" s="7">
        <f t="shared" si="36"/>
        <v>-20632</v>
      </c>
      <c r="Y49" s="2"/>
      <c r="Z49" s="6">
        <f t="shared" si="37"/>
        <v>-1</v>
      </c>
    </row>
    <row r="50" spans="1:26" s="28" customFormat="1" outlineLevel="1" collapsed="1" x14ac:dyDescent="0.25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0.10816955988769821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4"/>
      <c r="P50" s="1">
        <f>SUM(OSRRefP22_5x_0)</f>
        <v>44215.18</v>
      </c>
      <c r="Q50" s="1"/>
      <c r="R50" s="5">
        <f t="shared" si="34"/>
        <v>0</v>
      </c>
      <c r="S50" s="1"/>
      <c r="T50" s="1">
        <f>SUM(OSRRefT22_5x_0)</f>
        <v>44216</v>
      </c>
      <c r="U50" s="1"/>
      <c r="V50" s="5">
        <f t="shared" si="35"/>
        <v>0.26786861013170488</v>
      </c>
      <c r="W50" s="1"/>
      <c r="X50" s="1">
        <f t="shared" si="36"/>
        <v>-0.81999999999970896</v>
      </c>
      <c r="Y50" s="1"/>
      <c r="Z50" s="5">
        <f t="shared" si="37"/>
        <v>-1.8545322960007891E-5</v>
      </c>
    </row>
    <row r="51" spans="1:26" s="24" customFormat="1" hidden="1" outlineLevel="2" x14ac:dyDescent="0.25">
      <c r="A51" s="27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40644.080000000002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40644.080000000002</v>
      </c>
      <c r="Y51" s="2"/>
      <c r="Z51" s="6">
        <f t="shared" si="37"/>
        <v>0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0.10816955988769821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3571.1</v>
      </c>
      <c r="Q52" s="2"/>
      <c r="R52" s="6">
        <f t="shared" si="34"/>
        <v>0</v>
      </c>
      <c r="S52" s="2"/>
      <c r="T52" s="7">
        <v>44216</v>
      </c>
      <c r="U52" s="2"/>
      <c r="V52" s="6">
        <f t="shared" si="35"/>
        <v>0.26786861013170488</v>
      </c>
      <c r="W52" s="2"/>
      <c r="X52" s="7">
        <f t="shared" si="36"/>
        <v>-40644.9</v>
      </c>
      <c r="Y52" s="2"/>
      <c r="Z52" s="6">
        <f t="shared" si="37"/>
        <v>-0.91923511850913697</v>
      </c>
    </row>
    <row r="53" spans="1:26" s="28" customFormat="1" outlineLevel="1" collapsed="1" x14ac:dyDescent="0.25">
      <c r="A53" s="29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0</v>
      </c>
      <c r="I53" s="1"/>
      <c r="J53" s="5">
        <f t="shared" ref="J53:J67" si="39">IF(H$12=0,0,H53/H$12)</f>
        <v>0</v>
      </c>
      <c r="K53" s="1"/>
      <c r="L53" s="1">
        <f t="shared" ref="L53:L67" si="40">+D53-H53</f>
        <v>0</v>
      </c>
      <c r="M53" s="1"/>
      <c r="N53" s="5">
        <f t="shared" ref="N53:N67" si="41">IF(H53=0,0,L53/H53)</f>
        <v>0</v>
      </c>
      <c r="O53" s="14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50</v>
      </c>
      <c r="U53" s="1"/>
      <c r="V53" s="5">
        <f t="shared" ref="V53:V67" si="43">IF(T$12=0,0,T53/T$12)</f>
        <v>3.0290913937455321E-4</v>
      </c>
      <c r="W53" s="1"/>
      <c r="X53" s="1">
        <f t="shared" ref="X53:X67" si="44">+P53-T53</f>
        <v>-50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/>
      <c r="Q54" s="2"/>
      <c r="R54" s="6">
        <f t="shared" si="42"/>
        <v>0</v>
      </c>
      <c r="S54" s="2"/>
      <c r="T54" s="7">
        <v>50</v>
      </c>
      <c r="U54" s="2"/>
      <c r="V54" s="6">
        <f t="shared" si="43"/>
        <v>3.0290913937455321E-4</v>
      </c>
      <c r="W54" s="2"/>
      <c r="X54" s="7">
        <f t="shared" si="44"/>
        <v>-50</v>
      </c>
      <c r="Y54" s="2"/>
      <c r="Z54" s="6">
        <f t="shared" si="45"/>
        <v>-1</v>
      </c>
    </row>
    <row r="55" spans="1:26" s="28" customFormat="1" outlineLevel="1" collapsed="1" x14ac:dyDescent="0.25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176.4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2.8866305508323778E-3</v>
      </c>
      <c r="K55" s="1"/>
      <c r="L55" s="1">
        <f t="shared" si="40"/>
        <v>30.400000000000006</v>
      </c>
      <c r="M55" s="1"/>
      <c r="N55" s="5">
        <f t="shared" si="41"/>
        <v>0.20821917808219181</v>
      </c>
      <c r="O55" s="14"/>
      <c r="P55" s="1">
        <f>SUM(OSRRefP22_7x_0)</f>
        <v>428.95</v>
      </c>
      <c r="Q55" s="1"/>
      <c r="R55" s="5">
        <f t="shared" si="42"/>
        <v>0</v>
      </c>
      <c r="S55" s="1"/>
      <c r="T55" s="1">
        <f>SUM(OSRRefT22_7x_0)</f>
        <v>730</v>
      </c>
      <c r="U55" s="1"/>
      <c r="V55" s="5">
        <f t="shared" si="43"/>
        <v>4.4224734348684768E-3</v>
      </c>
      <c r="W55" s="1"/>
      <c r="X55" s="1">
        <f t="shared" si="44"/>
        <v>-301.05</v>
      </c>
      <c r="Y55" s="1"/>
      <c r="Z55" s="5">
        <f t="shared" si="45"/>
        <v>-0.41239726027397261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7">
        <v>176.4</v>
      </c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2.8866305508323778E-3</v>
      </c>
      <c r="K56" s="2"/>
      <c r="L56" s="7">
        <f t="shared" si="40"/>
        <v>30.400000000000006</v>
      </c>
      <c r="M56" s="2"/>
      <c r="N56" s="6">
        <f t="shared" si="41"/>
        <v>0.20821917808219181</v>
      </c>
      <c r="O56" s="11"/>
      <c r="P56" s="7">
        <v>428.95</v>
      </c>
      <c r="Q56" s="2"/>
      <c r="R56" s="6">
        <f t="shared" si="42"/>
        <v>0</v>
      </c>
      <c r="S56" s="2"/>
      <c r="T56" s="7">
        <v>730</v>
      </c>
      <c r="U56" s="2"/>
      <c r="V56" s="6">
        <f t="shared" si="43"/>
        <v>4.4224734348684768E-3</v>
      </c>
      <c r="W56" s="2"/>
      <c r="X56" s="7">
        <f t="shared" si="44"/>
        <v>-301.05</v>
      </c>
      <c r="Y56" s="2"/>
      <c r="Z56" s="6">
        <f t="shared" si="45"/>
        <v>-0.41239726027397261</v>
      </c>
    </row>
    <row r="57" spans="1:26" s="28" customFormat="1" outlineLevel="1" collapsed="1" x14ac:dyDescent="0.25">
      <c r="A57" s="29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SUM(OSRRefD22_8x_0)</f>
        <v>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0</v>
      </c>
      <c r="M57" s="1"/>
      <c r="N57" s="5">
        <f t="shared" si="41"/>
        <v>0</v>
      </c>
      <c r="O57" s="14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4.8465462299928513E-3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4.8465462299928513E-3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8" customFormat="1" outlineLevel="1" collapsed="1" x14ac:dyDescent="0.25">
      <c r="A59" s="29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5.3382893748269997E-3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4"/>
      <c r="P59" s="1">
        <f>SUM(OSRRefP22_9x_0)</f>
        <v>1948.32</v>
      </c>
      <c r="Q59" s="1"/>
      <c r="R59" s="5">
        <f t="shared" si="42"/>
        <v>0</v>
      </c>
      <c r="S59" s="1"/>
      <c r="T59" s="1">
        <f>SUM(OSRRefT22_9x_0)</f>
        <v>2160</v>
      </c>
      <c r="U59" s="1"/>
      <c r="V59" s="5">
        <f t="shared" si="43"/>
        <v>1.3085674820980699E-2</v>
      </c>
      <c r="W59" s="1"/>
      <c r="X59" s="1">
        <f t="shared" si="44"/>
        <v>-211.68000000000006</v>
      </c>
      <c r="Y59" s="1"/>
      <c r="Z59" s="5">
        <f t="shared" si="45"/>
        <v>-9.8000000000000032E-2</v>
      </c>
    </row>
    <row r="60" spans="1:26" s="24" customFormat="1" hidden="1" outlineLevel="2" x14ac:dyDescent="0.25">
      <c r="A60" s="27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5.3382893748269997E-3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1948.32</v>
      </c>
      <c r="Q60" s="2"/>
      <c r="R60" s="6">
        <f t="shared" si="42"/>
        <v>0</v>
      </c>
      <c r="S60" s="2"/>
      <c r="T60" s="7">
        <v>2160</v>
      </c>
      <c r="U60" s="2"/>
      <c r="V60" s="6">
        <f t="shared" si="43"/>
        <v>1.3085674820980699E-2</v>
      </c>
      <c r="W60" s="2"/>
      <c r="X60" s="7">
        <f t="shared" si="44"/>
        <v>-211.68000000000006</v>
      </c>
      <c r="Y60" s="2"/>
      <c r="Z60" s="6">
        <f t="shared" si="45"/>
        <v>-9.8000000000000032E-2</v>
      </c>
    </row>
    <row r="61" spans="1:26" s="28" customFormat="1" outlineLevel="1" collapsed="1" x14ac:dyDescent="0.25">
      <c r="A61" s="29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SUM(OSRRefD22_10x_0)</f>
        <v>4044</v>
      </c>
      <c r="E61" s="1"/>
      <c r="F61" s="5">
        <f t="shared" si="38"/>
        <v>0</v>
      </c>
      <c r="G61" s="1"/>
      <c r="H61" s="1">
        <f>SUM(OSRRefH22_10x_0)</f>
        <v>4044</v>
      </c>
      <c r="I61" s="1"/>
      <c r="J61" s="5">
        <f t="shared" si="39"/>
        <v>7.9955711969631069E-2</v>
      </c>
      <c r="K61" s="1"/>
      <c r="L61" s="1">
        <f t="shared" si="40"/>
        <v>0</v>
      </c>
      <c r="M61" s="1"/>
      <c r="N61" s="5">
        <f t="shared" si="41"/>
        <v>0</v>
      </c>
      <c r="O61" s="14"/>
      <c r="P61" s="1">
        <f>SUM(OSRRefP22_10x_0)</f>
        <v>32089.85</v>
      </c>
      <c r="Q61" s="1"/>
      <c r="R61" s="5">
        <f t="shared" si="42"/>
        <v>0</v>
      </c>
      <c r="S61" s="1"/>
      <c r="T61" s="1">
        <f>SUM(OSRRefT22_10x_0)</f>
        <v>32352</v>
      </c>
      <c r="U61" s="1"/>
      <c r="V61" s="5">
        <f t="shared" si="43"/>
        <v>0.19599432954091092</v>
      </c>
      <c r="W61" s="1"/>
      <c r="X61" s="1">
        <f t="shared" si="44"/>
        <v>-262.15000000000146</v>
      </c>
      <c r="Y61" s="1"/>
      <c r="Z61" s="5">
        <f t="shared" si="45"/>
        <v>-8.1030539070227944E-3</v>
      </c>
    </row>
    <row r="62" spans="1:26" s="24" customFormat="1" hidden="1" outlineLevel="2" x14ac:dyDescent="0.25">
      <c r="A62" s="27"/>
      <c r="B62" s="11" t="str">
        <f>CONCATENATE("          ", "6401", " - ", "INTEREST EXPENSE")</f>
        <v xml:space="preserve">          6401 - INTEREST EXPENSE</v>
      </c>
      <c r="C62" s="11"/>
      <c r="D62" s="7">
        <v>4044</v>
      </c>
      <c r="E62" s="2"/>
      <c r="F62" s="6">
        <f t="shared" si="38"/>
        <v>0</v>
      </c>
      <c r="G62" s="2"/>
      <c r="H62" s="7">
        <v>4044</v>
      </c>
      <c r="I62" s="2"/>
      <c r="J62" s="6">
        <f t="shared" si="39"/>
        <v>7.9955711969631069E-2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32089.85</v>
      </c>
      <c r="Q62" s="2"/>
      <c r="R62" s="6">
        <f t="shared" si="42"/>
        <v>0</v>
      </c>
      <c r="S62" s="2"/>
      <c r="T62" s="7">
        <v>32352</v>
      </c>
      <c r="U62" s="2"/>
      <c r="V62" s="6">
        <f t="shared" si="43"/>
        <v>0.19599432954091092</v>
      </c>
      <c r="W62" s="2"/>
      <c r="X62" s="7">
        <f t="shared" si="44"/>
        <v>-262.15000000000146</v>
      </c>
      <c r="Y62" s="2"/>
      <c r="Z62" s="6">
        <f t="shared" si="45"/>
        <v>-8.1030539070227944E-3</v>
      </c>
    </row>
    <row r="63" spans="1:26" s="28" customFormat="1" outlineLevel="1" collapsed="1" x14ac:dyDescent="0.25">
      <c r="A63" s="29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108</v>
      </c>
      <c r="E63" s="1"/>
      <c r="F63" s="5">
        <f t="shared" si="38"/>
        <v>0</v>
      </c>
      <c r="G63" s="1"/>
      <c r="H63" s="1">
        <f>SUM(OSRRefH22_11x_0)</f>
        <v>0</v>
      </c>
      <c r="I63" s="1"/>
      <c r="J63" s="5">
        <f t="shared" si="39"/>
        <v>0</v>
      </c>
      <c r="K63" s="1"/>
      <c r="L63" s="1">
        <f t="shared" si="40"/>
        <v>108</v>
      </c>
      <c r="M63" s="1"/>
      <c r="N63" s="5">
        <f t="shared" si="41"/>
        <v>0</v>
      </c>
      <c r="O63" s="14"/>
      <c r="P63" s="1">
        <f>SUM(OSRRefP22_11x_0)</f>
        <v>403.64</v>
      </c>
      <c r="Q63" s="1"/>
      <c r="R63" s="5">
        <f t="shared" si="42"/>
        <v>0</v>
      </c>
      <c r="S63" s="1"/>
      <c r="T63" s="1">
        <f>SUM(OSRRefT22_11x_0)</f>
        <v>1077</v>
      </c>
      <c r="U63" s="1"/>
      <c r="V63" s="5">
        <f t="shared" si="43"/>
        <v>6.5246628621278766E-3</v>
      </c>
      <c r="W63" s="1"/>
      <c r="X63" s="1">
        <f t="shared" si="44"/>
        <v>-673.36</v>
      </c>
      <c r="Y63" s="1"/>
      <c r="Z63" s="5">
        <f t="shared" si="45"/>
        <v>-0.62521819870009288</v>
      </c>
    </row>
    <row r="64" spans="1:26" s="24" customFormat="1" hidden="1" outlineLevel="2" x14ac:dyDescent="0.25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2.6050185986211576E-4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25">
      <c r="A65" s="27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2.647425878133595E-3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0</v>
      </c>
      <c r="M66" s="2"/>
      <c r="N66" s="6">
        <f t="shared" si="41"/>
        <v>0</v>
      </c>
      <c r="O66" s="11"/>
      <c r="P66" s="7">
        <v>295.64</v>
      </c>
      <c r="Q66" s="2"/>
      <c r="R66" s="6">
        <f t="shared" si="42"/>
        <v>0</v>
      </c>
      <c r="S66" s="2"/>
      <c r="T66" s="7">
        <v>231</v>
      </c>
      <c r="U66" s="2"/>
      <c r="V66" s="6">
        <f t="shared" si="43"/>
        <v>1.3994402239104358E-3</v>
      </c>
      <c r="W66" s="2"/>
      <c r="X66" s="7">
        <f t="shared" si="44"/>
        <v>64.639999999999986</v>
      </c>
      <c r="Y66" s="2"/>
      <c r="Z66" s="6">
        <f t="shared" si="45"/>
        <v>0.27982683982683976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108</v>
      </c>
      <c r="E67" s="2"/>
      <c r="F67" s="6">
        <f t="shared" si="38"/>
        <v>0</v>
      </c>
      <c r="G67" s="2"/>
      <c r="H67" s="7"/>
      <c r="I67" s="2"/>
      <c r="J67" s="6">
        <f t="shared" si="39"/>
        <v>0</v>
      </c>
      <c r="K67" s="2"/>
      <c r="L67" s="7">
        <f t="shared" si="40"/>
        <v>108</v>
      </c>
      <c r="M67" s="2"/>
      <c r="N67" s="6">
        <f t="shared" si="41"/>
        <v>0</v>
      </c>
      <c r="O67" s="11"/>
      <c r="P67" s="7">
        <v>108</v>
      </c>
      <c r="Q67" s="2"/>
      <c r="R67" s="6">
        <f t="shared" si="42"/>
        <v>0</v>
      </c>
      <c r="S67" s="2"/>
      <c r="T67" s="7">
        <v>366</v>
      </c>
      <c r="U67" s="2"/>
      <c r="V67" s="6">
        <f t="shared" si="43"/>
        <v>2.2172949002217295E-3</v>
      </c>
      <c r="W67" s="2"/>
      <c r="X67" s="7">
        <f t="shared" si="44"/>
        <v>-258</v>
      </c>
      <c r="Y67" s="2"/>
      <c r="Z67" s="6">
        <f t="shared" si="45"/>
        <v>-0.70491803278688525</v>
      </c>
    </row>
    <row r="68" spans="1:26" s="28" customFormat="1" outlineLevel="1" collapsed="1" x14ac:dyDescent="0.25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289</v>
      </c>
      <c r="E68" s="1"/>
      <c r="F68" s="5">
        <f t="shared" ref="F68:F71" si="46">IF(D$12=0,0,D68/D$12)</f>
        <v>0</v>
      </c>
      <c r="G68" s="1"/>
      <c r="H68" s="1">
        <f>SUM(OSRRefH22_12x_0)</f>
        <v>708</v>
      </c>
      <c r="I68" s="1"/>
      <c r="J68" s="5">
        <f t="shared" ref="J68:J71" si="47">IF(H$12=0,0,H68/H$12)</f>
        <v>1.3998181027324133E-2</v>
      </c>
      <c r="K68" s="1"/>
      <c r="L68" s="1">
        <f t="shared" ref="L68:L71" si="48">+D68-H68</f>
        <v>-419</v>
      </c>
      <c r="M68" s="1"/>
      <c r="N68" s="5">
        <f t="shared" ref="N68:N71" si="49">IF(H68=0,0,L68/H68)</f>
        <v>-0.59180790960451979</v>
      </c>
      <c r="O68" s="14"/>
      <c r="P68" s="1">
        <f>SUM(OSRRefP22_12x_0)</f>
        <v>1785.4</v>
      </c>
      <c r="Q68" s="1"/>
      <c r="R68" s="5">
        <f t="shared" ref="R68:R71" si="50">IF(P$12=0,0,P68/P$12)</f>
        <v>0</v>
      </c>
      <c r="S68" s="1"/>
      <c r="T68" s="1">
        <f>SUM(OSRRefT22_12x_0)</f>
        <v>4552</v>
      </c>
      <c r="U68" s="1"/>
      <c r="V68" s="5">
        <f t="shared" ref="V68:V71" si="51">IF(T$12=0,0,T68/T$12)</f>
        <v>2.7576848048659324E-2</v>
      </c>
      <c r="W68" s="1"/>
      <c r="X68" s="1">
        <f t="shared" ref="X68:X71" si="52">+P68-T68</f>
        <v>-2766.6</v>
      </c>
      <c r="Y68" s="1"/>
      <c r="Z68" s="5">
        <f t="shared" ref="Z68:Z71" si="53">IF(T68=0,0,X68/T68)</f>
        <v>-0.60777680140597534</v>
      </c>
    </row>
    <row r="69" spans="1:26" s="24" customFormat="1" hidden="1" outlineLevel="2" x14ac:dyDescent="0.25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46"/>
        <v>0</v>
      </c>
      <c r="G69" s="2"/>
      <c r="H69" s="7">
        <v>315</v>
      </c>
      <c r="I69" s="2"/>
      <c r="J69" s="6">
        <f t="shared" si="47"/>
        <v>6.2280042706314995E-3</v>
      </c>
      <c r="K69" s="2"/>
      <c r="L69" s="7">
        <f t="shared" si="48"/>
        <v>-315</v>
      </c>
      <c r="M69" s="2"/>
      <c r="N69" s="6">
        <f t="shared" si="49"/>
        <v>-1</v>
      </c>
      <c r="O69" s="11"/>
      <c r="P69" s="7">
        <v>629.4</v>
      </c>
      <c r="Q69" s="2"/>
      <c r="R69" s="6">
        <f t="shared" si="50"/>
        <v>0</v>
      </c>
      <c r="S69" s="2"/>
      <c r="T69" s="7">
        <v>1416</v>
      </c>
      <c r="U69" s="2"/>
      <c r="V69" s="6">
        <f t="shared" si="51"/>
        <v>8.5783868270873469E-3</v>
      </c>
      <c r="W69" s="2"/>
      <c r="X69" s="7">
        <f t="shared" si="52"/>
        <v>-786.6</v>
      </c>
      <c r="Y69" s="2"/>
      <c r="Z69" s="6">
        <f t="shared" si="53"/>
        <v>-0.55550847457627117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7">
        <v>289</v>
      </c>
      <c r="E70" s="2"/>
      <c r="F70" s="6">
        <f t="shared" si="46"/>
        <v>0</v>
      </c>
      <c r="G70" s="2"/>
      <c r="H70" s="7">
        <v>289</v>
      </c>
      <c r="I70" s="2"/>
      <c r="J70" s="6">
        <f t="shared" si="47"/>
        <v>5.7139467752777891E-3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>
        <v>1156</v>
      </c>
      <c r="Q70" s="2"/>
      <c r="R70" s="6">
        <f t="shared" si="50"/>
        <v>0</v>
      </c>
      <c r="S70" s="2"/>
      <c r="T70" s="7">
        <v>2311</v>
      </c>
      <c r="U70" s="2"/>
      <c r="V70" s="6">
        <f t="shared" si="51"/>
        <v>1.4000460421891849E-2</v>
      </c>
      <c r="W70" s="2"/>
      <c r="X70" s="7">
        <f t="shared" si="52"/>
        <v>-1155</v>
      </c>
      <c r="Y70" s="2"/>
      <c r="Z70" s="6">
        <f t="shared" si="53"/>
        <v>-0.49978364344439635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104</v>
      </c>
      <c r="I71" s="2"/>
      <c r="J71" s="6">
        <f t="shared" si="47"/>
        <v>2.0562299814148445E-3</v>
      </c>
      <c r="K71" s="2"/>
      <c r="L71" s="7">
        <f t="shared" si="48"/>
        <v>-104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825</v>
      </c>
      <c r="U71" s="2"/>
      <c r="V71" s="6">
        <f t="shared" si="51"/>
        <v>4.9980007996801284E-3</v>
      </c>
      <c r="W71" s="2"/>
      <c r="X71" s="7">
        <f t="shared" si="52"/>
        <v>-825</v>
      </c>
      <c r="Y71" s="2"/>
      <c r="Z71" s="6">
        <f t="shared" si="53"/>
        <v>-1</v>
      </c>
    </row>
    <row r="72" spans="1:26" s="28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3.4797738147020443E-3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4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1408</v>
      </c>
      <c r="U72" s="1"/>
      <c r="V72" s="5">
        <f t="shared" ref="V72:V79" si="59">IF(T$12=0,0,T72/T$12)</f>
        <v>8.5299213647874184E-3</v>
      </c>
      <c r="W72" s="1"/>
      <c r="X72" s="1">
        <f t="shared" ref="X72:X79" si="60">+P72-T72</f>
        <v>-1408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7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3.4797738147020443E-3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1408</v>
      </c>
      <c r="U73" s="2"/>
      <c r="V73" s="6">
        <f t="shared" si="59"/>
        <v>8.5299213647874184E-3</v>
      </c>
      <c r="W73" s="2"/>
      <c r="X73" s="7">
        <f t="shared" si="60"/>
        <v>-1408</v>
      </c>
      <c r="Y73" s="2"/>
      <c r="Z73" s="6">
        <f t="shared" si="61"/>
        <v>-1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626</v>
      </c>
      <c r="I74" s="1"/>
      <c r="J74" s="5">
        <f t="shared" si="55"/>
        <v>1.2376922772747044E-2</v>
      </c>
      <c r="K74" s="1"/>
      <c r="L74" s="1">
        <f t="shared" si="56"/>
        <v>-626</v>
      </c>
      <c r="M74" s="1"/>
      <c r="N74" s="5">
        <f t="shared" si="57"/>
        <v>-1</v>
      </c>
      <c r="O74" s="14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11935</v>
      </c>
      <c r="U74" s="1"/>
      <c r="V74" s="5">
        <f t="shared" si="59"/>
        <v>7.2304411568705845E-2</v>
      </c>
      <c r="W74" s="1"/>
      <c r="X74" s="1">
        <f t="shared" si="60"/>
        <v>-11300.76</v>
      </c>
      <c r="Y74" s="1"/>
      <c r="Z74" s="5">
        <f t="shared" si="61"/>
        <v>-0.94685881860075405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1.696291180497498E-4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200</v>
      </c>
      <c r="I76" s="2"/>
      <c r="J76" s="6">
        <f t="shared" si="55"/>
        <v>3.9542884257977775E-3</v>
      </c>
      <c r="K76" s="2"/>
      <c r="L76" s="7">
        <f t="shared" si="56"/>
        <v>-200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2300</v>
      </c>
      <c r="U76" s="2"/>
      <c r="V76" s="6">
        <f t="shared" si="59"/>
        <v>1.3933820411229448E-2</v>
      </c>
      <c r="W76" s="2"/>
      <c r="X76" s="7">
        <f t="shared" si="60"/>
        <v>-2300</v>
      </c>
      <c r="Y76" s="2"/>
      <c r="Z76" s="6">
        <f t="shared" si="61"/>
        <v>-1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/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>
        <v>317.57</v>
      </c>
      <c r="Q77" s="2"/>
      <c r="R77" s="6">
        <f t="shared" si="58"/>
        <v>0</v>
      </c>
      <c r="S77" s="2"/>
      <c r="T77" s="7">
        <v>691</v>
      </c>
      <c r="U77" s="2"/>
      <c r="V77" s="6">
        <f t="shared" si="59"/>
        <v>4.1862043061563258E-3</v>
      </c>
      <c r="W77" s="2"/>
      <c r="X77" s="7">
        <f t="shared" si="60"/>
        <v>-373.43</v>
      </c>
      <c r="Y77" s="2"/>
      <c r="Z77" s="6">
        <f t="shared" si="61"/>
        <v>-0.54041968162083942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>
        <v>142</v>
      </c>
      <c r="I78" s="2"/>
      <c r="J78" s="6">
        <f t="shared" si="55"/>
        <v>2.8075447823164221E-3</v>
      </c>
      <c r="K78" s="2"/>
      <c r="L78" s="7">
        <f t="shared" si="56"/>
        <v>-142</v>
      </c>
      <c r="M78" s="2"/>
      <c r="N78" s="6">
        <f t="shared" si="57"/>
        <v>-1</v>
      </c>
      <c r="O78" s="11"/>
      <c r="P78" s="7"/>
      <c r="Q78" s="2"/>
      <c r="R78" s="6">
        <f t="shared" si="58"/>
        <v>0</v>
      </c>
      <c r="S78" s="2"/>
      <c r="T78" s="7">
        <v>1272</v>
      </c>
      <c r="U78" s="2"/>
      <c r="V78" s="6">
        <f t="shared" si="59"/>
        <v>7.7060085056886336E-3</v>
      </c>
      <c r="W78" s="2"/>
      <c r="X78" s="7">
        <f t="shared" si="60"/>
        <v>-1272</v>
      </c>
      <c r="Y78" s="2"/>
      <c r="Z78" s="6">
        <f t="shared" si="61"/>
        <v>-1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>
        <v>284</v>
      </c>
      <c r="I79" s="2"/>
      <c r="J79" s="6">
        <f t="shared" si="55"/>
        <v>5.6150895646328441E-3</v>
      </c>
      <c r="K79" s="2"/>
      <c r="L79" s="7">
        <f t="shared" si="56"/>
        <v>-284</v>
      </c>
      <c r="M79" s="2"/>
      <c r="N79" s="6">
        <f t="shared" si="57"/>
        <v>-1</v>
      </c>
      <c r="O79" s="11"/>
      <c r="P79" s="7"/>
      <c r="Q79" s="2"/>
      <c r="R79" s="6">
        <f t="shared" si="58"/>
        <v>0</v>
      </c>
      <c r="S79" s="2"/>
      <c r="T79" s="7">
        <v>7644</v>
      </c>
      <c r="U79" s="2"/>
      <c r="V79" s="6">
        <f t="shared" si="59"/>
        <v>4.6308749227581693E-2</v>
      </c>
      <c r="W79" s="2"/>
      <c r="X79" s="7">
        <f t="shared" si="60"/>
        <v>-7644</v>
      </c>
      <c r="Y79" s="2"/>
      <c r="Z79" s="6">
        <f t="shared" si="61"/>
        <v>-1</v>
      </c>
    </row>
    <row r="80" spans="1:26" s="28" customFormat="1" outlineLevel="1" collapsed="1" x14ac:dyDescent="0.25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-128</v>
      </c>
      <c r="E80" s="1"/>
      <c r="F80" s="5">
        <f t="shared" ref="F80:F82" si="62">IF(D$12=0,0,D80/D$12)</f>
        <v>0</v>
      </c>
      <c r="G80" s="1"/>
      <c r="H80" s="1">
        <f>SUM(OSRRefH22_15x_0)</f>
        <v>40</v>
      </c>
      <c r="I80" s="1"/>
      <c r="J80" s="5">
        <f t="shared" ref="J80:J82" si="63">IF(H$12=0,0,H80/H$12)</f>
        <v>7.9085768515955556E-4</v>
      </c>
      <c r="K80" s="1"/>
      <c r="L80" s="1">
        <f t="shared" ref="L80:L82" si="64">+D80-H80</f>
        <v>-168</v>
      </c>
      <c r="M80" s="1"/>
      <c r="N80" s="5">
        <f t="shared" ref="N80:N82" si="65">IF(H80=0,0,L80/H80)</f>
        <v>-4.2</v>
      </c>
      <c r="O80" s="14"/>
      <c r="P80" s="1">
        <f>SUM(OSRRefP22_15x_0)</f>
        <v>931.87</v>
      </c>
      <c r="Q80" s="1"/>
      <c r="R80" s="5">
        <f t="shared" ref="R80:R82" si="66">IF(P$12=0,0,P80/P$12)</f>
        <v>0</v>
      </c>
      <c r="S80" s="1"/>
      <c r="T80" s="1">
        <f>SUM(OSRRefT22_15x_0)</f>
        <v>765</v>
      </c>
      <c r="U80" s="1"/>
      <c r="V80" s="5">
        <f t="shared" ref="V80:V82" si="67">IF(T$12=0,0,T80/T$12)</f>
        <v>4.6345098324306645E-3</v>
      </c>
      <c r="W80" s="1"/>
      <c r="X80" s="1">
        <f t="shared" ref="X80:X82" si="68">+P80-T80</f>
        <v>166.87</v>
      </c>
      <c r="Y80" s="1"/>
      <c r="Z80" s="5">
        <f t="shared" ref="Z80:Z82" si="69">IF(T80=0,0,X80/T80)</f>
        <v>0.21813071895424838</v>
      </c>
    </row>
    <row r="81" spans="1:26" s="24" customFormat="1" hidden="1" outlineLevel="2" x14ac:dyDescent="0.25">
      <c r="A81" s="27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7.9085768515955556E-4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315</v>
      </c>
      <c r="U81" s="2"/>
      <c r="V81" s="6">
        <f t="shared" si="67"/>
        <v>1.9083275780596852E-3</v>
      </c>
      <c r="W81" s="2"/>
      <c r="X81" s="7">
        <f t="shared" si="68"/>
        <v>-315</v>
      </c>
      <c r="Y81" s="2"/>
      <c r="Z81" s="6">
        <f t="shared" si="69"/>
        <v>-1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7">
        <v>-128</v>
      </c>
      <c r="E82" s="2"/>
      <c r="F82" s="6">
        <f t="shared" si="62"/>
        <v>0</v>
      </c>
      <c r="G82" s="2"/>
      <c r="H82" s="7"/>
      <c r="I82" s="2"/>
      <c r="J82" s="6">
        <f t="shared" si="63"/>
        <v>0</v>
      </c>
      <c r="K82" s="2"/>
      <c r="L82" s="7">
        <f t="shared" si="64"/>
        <v>-128</v>
      </c>
      <c r="M82" s="2"/>
      <c r="N82" s="6">
        <f t="shared" si="65"/>
        <v>0</v>
      </c>
      <c r="O82" s="11"/>
      <c r="P82" s="7">
        <v>931.87</v>
      </c>
      <c r="Q82" s="2"/>
      <c r="R82" s="6">
        <f t="shared" si="66"/>
        <v>0</v>
      </c>
      <c r="S82" s="2"/>
      <c r="T82" s="7">
        <v>450</v>
      </c>
      <c r="U82" s="2"/>
      <c r="V82" s="6">
        <f t="shared" si="67"/>
        <v>2.7261822543709789E-3</v>
      </c>
      <c r="W82" s="2"/>
      <c r="X82" s="7">
        <f t="shared" si="68"/>
        <v>481.87</v>
      </c>
      <c r="Y82" s="2"/>
      <c r="Z82" s="6">
        <f t="shared" si="69"/>
        <v>1.0708222222222223</v>
      </c>
    </row>
    <row r="83" spans="1:26" s="28" customFormat="1" outlineLevel="1" collapsed="1" x14ac:dyDescent="0.25">
      <c r="A83" s="29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4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9.0872741812365963E-3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7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9.0872741812365963E-3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8" customFormat="1" outlineLevel="1" collapsed="1" x14ac:dyDescent="0.25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878</v>
      </c>
      <c r="E85" s="1"/>
      <c r="F85" s="5">
        <f t="shared" si="70"/>
        <v>0</v>
      </c>
      <c r="G85" s="1"/>
      <c r="H85" s="1">
        <f>SUM(OSRRefH22_17x_0)</f>
        <v>800</v>
      </c>
      <c r="I85" s="1"/>
      <c r="J85" s="5">
        <f t="shared" si="71"/>
        <v>1.581715370319111E-2</v>
      </c>
      <c r="K85" s="1"/>
      <c r="L85" s="1">
        <f t="shared" si="72"/>
        <v>78</v>
      </c>
      <c r="M85" s="1"/>
      <c r="N85" s="5">
        <f t="shared" si="73"/>
        <v>9.7500000000000003E-2</v>
      </c>
      <c r="O85" s="14"/>
      <c r="P85" s="1">
        <f>SUM(OSRRefP22_17x_0)</f>
        <v>4390</v>
      </c>
      <c r="Q85" s="1"/>
      <c r="R85" s="5">
        <f t="shared" si="74"/>
        <v>0</v>
      </c>
      <c r="S85" s="1"/>
      <c r="T85" s="1">
        <f>SUM(OSRRefT22_17x_0)</f>
        <v>6694</v>
      </c>
      <c r="U85" s="1"/>
      <c r="V85" s="5">
        <f t="shared" si="75"/>
        <v>4.0553475579465183E-2</v>
      </c>
      <c r="W85" s="1"/>
      <c r="X85" s="1">
        <f t="shared" si="76"/>
        <v>-2304</v>
      </c>
      <c r="Y85" s="1"/>
      <c r="Z85" s="5">
        <f t="shared" si="77"/>
        <v>-0.34418882581416194</v>
      </c>
    </row>
    <row r="86" spans="1:26" s="24" customFormat="1" hidden="1" outlineLevel="2" x14ac:dyDescent="0.25">
      <c r="A86" s="27"/>
      <c r="B86" s="11" t="str">
        <f>CONCATENATE("          ", "6274", " - ", "UTILITIES")</f>
        <v xml:space="preserve">          6274 - UTILITIES</v>
      </c>
      <c r="C86" s="11"/>
      <c r="D86" s="7">
        <v>878</v>
      </c>
      <c r="E86" s="2"/>
      <c r="F86" s="6">
        <f t="shared" si="70"/>
        <v>0</v>
      </c>
      <c r="G86" s="2"/>
      <c r="H86" s="7">
        <v>800</v>
      </c>
      <c r="I86" s="2"/>
      <c r="J86" s="6">
        <f t="shared" si="71"/>
        <v>1.581715370319111E-2</v>
      </c>
      <c r="K86" s="2"/>
      <c r="L86" s="7">
        <f t="shared" si="72"/>
        <v>78</v>
      </c>
      <c r="M86" s="2"/>
      <c r="N86" s="6">
        <f t="shared" si="73"/>
        <v>9.7500000000000003E-2</v>
      </c>
      <c r="O86" s="11"/>
      <c r="P86" s="7">
        <v>4390</v>
      </c>
      <c r="Q86" s="2"/>
      <c r="R86" s="6">
        <f t="shared" si="74"/>
        <v>0</v>
      </c>
      <c r="S86" s="2"/>
      <c r="T86" s="7">
        <v>6694</v>
      </c>
      <c r="U86" s="2"/>
      <c r="V86" s="6">
        <f t="shared" si="75"/>
        <v>4.0553475579465183E-2</v>
      </c>
      <c r="W86" s="2"/>
      <c r="X86" s="7">
        <f t="shared" si="76"/>
        <v>-2304</v>
      </c>
      <c r="Y86" s="2"/>
      <c r="Z86" s="6">
        <f t="shared" si="77"/>
        <v>-0.34418882581416194</v>
      </c>
    </row>
    <row r="87" spans="1:26" s="58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6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3</v>
      </c>
      <c r="C90" s="25"/>
      <c r="D90" s="19">
        <f>+D21-D23+D88</f>
        <v>-11082.15</v>
      </c>
      <c r="E90" s="13"/>
      <c r="F90" s="21">
        <f>IF(D$12=0,0,D90/D$12)</f>
        <v>0</v>
      </c>
      <c r="G90" s="13"/>
      <c r="H90" s="19">
        <f>+H21-H23+H88</f>
        <v>-5131.0847839999988</v>
      </c>
      <c r="I90" s="13"/>
      <c r="J90" s="21">
        <f>IF(H$12=0,0,H90/H$12)</f>
        <v>-0.10144894586579142</v>
      </c>
      <c r="K90" s="15"/>
      <c r="L90" s="19">
        <f>+D90-H90</f>
        <v>-5951.0652160000009</v>
      </c>
      <c r="M90" s="15"/>
      <c r="N90" s="21">
        <f>IF(H90=0,0,L90/H90)</f>
        <v>1.1598064476652004</v>
      </c>
      <c r="O90" s="26"/>
      <c r="P90" s="19">
        <f>+P21-P23+P88</f>
        <v>-102156.96</v>
      </c>
      <c r="Q90" s="13"/>
      <c r="R90" s="21">
        <f>IF(P$12=0,0,P90/P$12)</f>
        <v>0</v>
      </c>
      <c r="S90" s="13"/>
      <c r="T90" s="19">
        <f>+T21-T23+T88</f>
        <v>-125972.10818400001</v>
      </c>
      <c r="U90" s="13"/>
      <c r="V90" s="21">
        <f>IF(T$12=0,0,T90/T$12)</f>
        <v>-0.76316205750427113</v>
      </c>
      <c r="W90" s="15"/>
      <c r="X90" s="19">
        <f>+P90-T90</f>
        <v>23815.148184000005</v>
      </c>
      <c r="Y90" s="15"/>
      <c r="Z90" s="21">
        <f>IF(T90=0,0,X90/T90)</f>
        <v>-0.18905096157646759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/>
      <c r="E92" s="4"/>
      <c r="F92" s="12">
        <f>IF(D$12=0,0,D92/D$12)</f>
        <v>0</v>
      </c>
      <c r="G92" s="4"/>
      <c r="H92" s="4">
        <v>8519</v>
      </c>
      <c r="I92" s="4"/>
      <c r="J92" s="12">
        <f>IF(H$12=0,0,H92/H$12)</f>
        <v>0.16843291549685635</v>
      </c>
      <c r="K92" s="4"/>
      <c r="L92" s="4">
        <f>+D92-H92</f>
        <v>-8519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28387</v>
      </c>
      <c r="U92" s="4"/>
      <c r="V92" s="12">
        <f>IF(T$12=0,0,T92/T$12)</f>
        <v>0.17197363478850883</v>
      </c>
      <c r="W92" s="4"/>
      <c r="X92" s="4">
        <f>+P92-T92</f>
        <v>-28387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4</v>
      </c>
      <c r="C94" s="25"/>
      <c r="D94" s="34">
        <f>+D90-D92</f>
        <v>-11082.15</v>
      </c>
      <c r="E94" s="13"/>
      <c r="F94" s="30">
        <f>IF(D$12=0,0,D94/D$12)</f>
        <v>0</v>
      </c>
      <c r="G94" s="13"/>
      <c r="H94" s="34">
        <f>+H90-H92</f>
        <v>-13650.084783999999</v>
      </c>
      <c r="I94" s="13"/>
      <c r="J94" s="30">
        <f>IF(H$12=0,0,H94/H$12)</f>
        <v>-0.26988186136264775</v>
      </c>
      <c r="K94" s="15"/>
      <c r="L94" s="34">
        <f>D94-H94</f>
        <v>2567.9347839999991</v>
      </c>
      <c r="M94" s="15"/>
      <c r="N94" s="30">
        <f>IF(H94=0,0,L94/H94)</f>
        <v>-0.18812592189976829</v>
      </c>
      <c r="O94" s="26"/>
      <c r="P94" s="34">
        <f>+P90-P92</f>
        <v>-102156.96</v>
      </c>
      <c r="Q94" s="13"/>
      <c r="R94" s="30">
        <f>IF(P$12=0,0,P94/P$12)</f>
        <v>0</v>
      </c>
      <c r="S94" s="13"/>
      <c r="T94" s="34">
        <f>+T90-T92</f>
        <v>-154359.10818400001</v>
      </c>
      <c r="U94" s="13"/>
      <c r="V94" s="30">
        <f>IF(T$12=0,0,T94/T$12)</f>
        <v>-0.93513569229277993</v>
      </c>
      <c r="W94" s="15"/>
      <c r="X94" s="34">
        <f>P94-T94</f>
        <v>52202.148184000005</v>
      </c>
      <c r="Y94" s="15"/>
      <c r="Z94" s="30">
        <f>IF(T94=0,0,X94/T94)</f>
        <v>-0.33818638108334825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5</v>
      </c>
      <c r="C97" s="25"/>
      <c r="D97" s="35">
        <f>SUM(D94:D96)</f>
        <v>-11082.15</v>
      </c>
      <c r="E97" s="13"/>
      <c r="F97" s="31">
        <f>IF(D$12=0,0,D97/D$12)</f>
        <v>0</v>
      </c>
      <c r="G97" s="13"/>
      <c r="H97" s="35">
        <f>SUM(H94:H96)</f>
        <v>-13650.084783999999</v>
      </c>
      <c r="I97" s="13"/>
      <c r="J97" s="31">
        <f>IF(H$12=0,0,H97/H$12)</f>
        <v>-0.26988186136264775</v>
      </c>
      <c r="K97" s="15"/>
      <c r="L97" s="35">
        <f>+D97-H97</f>
        <v>2567.9347839999991</v>
      </c>
      <c r="M97" s="15"/>
      <c r="N97" s="31">
        <f>IF(H97=0,0,L97/H97)</f>
        <v>-0.18812592189976829</v>
      </c>
      <c r="O97" s="26"/>
      <c r="P97" s="35">
        <f>SUM(P94:P96)</f>
        <v>-102156.96</v>
      </c>
      <c r="Q97" s="13"/>
      <c r="R97" s="31">
        <f>IF(P$12=0,0,P97/P$12)</f>
        <v>0</v>
      </c>
      <c r="S97" s="13"/>
      <c r="T97" s="35">
        <f>SUM(T94:T96)</f>
        <v>-154359.10818400001</v>
      </c>
      <c r="U97" s="13"/>
      <c r="V97" s="31">
        <f>IF(T$12=0,0,T97/T$12)</f>
        <v>-0.93513569229277993</v>
      </c>
      <c r="W97" s="15"/>
      <c r="X97" s="35">
        <f>+P97-T97</f>
        <v>52202.148184000005</v>
      </c>
      <c r="Y97" s="15"/>
      <c r="Z97" s="31">
        <f>IF(T97=0,0,X97/T97)</f>
        <v>-0.33818638108334825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3">
        <v>44267.671965162037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2" t="s">
        <v>314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134</v>
      </c>
      <c r="E12" s="4"/>
      <c r="F12" s="12"/>
      <c r="G12" s="4"/>
      <c r="H12" s="4">
        <f>SUM(OSRRefH13x_0)</f>
        <v>428</v>
      </c>
      <c r="I12" s="4"/>
      <c r="J12" s="12"/>
      <c r="K12" s="4"/>
      <c r="L12" s="4">
        <f t="shared" ref="L12:L14" si="0">+D12-H12</f>
        <v>-294</v>
      </c>
      <c r="M12" s="4"/>
      <c r="N12" s="12">
        <f t="shared" ref="N12:N14" si="1">IF(H12=0,0,L12/H12)</f>
        <v>-0.68691588785046731</v>
      </c>
      <c r="O12" s="10"/>
      <c r="P12" s="4">
        <f>SUM(OSRRefP13x_0)</f>
        <v>244</v>
      </c>
      <c r="Q12" s="4"/>
      <c r="R12" s="12"/>
      <c r="S12" s="4"/>
      <c r="T12" s="4">
        <f>SUM(OSRRefT13x_0)</f>
        <v>2876</v>
      </c>
      <c r="U12" s="4"/>
      <c r="V12" s="12"/>
      <c r="W12" s="4"/>
      <c r="X12" s="4">
        <f t="shared" ref="X12:X14" si="2">+P12-T12</f>
        <v>-2632</v>
      </c>
      <c r="Y12" s="4"/>
      <c r="Z12" s="12">
        <f t="shared" ref="Z12:Z14" si="3">IF(T12=0,0,X12/T12)</f>
        <v>-0.91515994436717663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428</v>
      </c>
      <c r="I13" s="2"/>
      <c r="J13" s="22"/>
      <c r="K13" s="2"/>
      <c r="L13" s="2">
        <f t="shared" si="0"/>
        <v>-428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2876</v>
      </c>
      <c r="U13" s="2"/>
      <c r="V13" s="22"/>
      <c r="W13" s="2"/>
      <c r="X13" s="2">
        <f t="shared" si="2"/>
        <v>-2876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>--134</f>
        <v>134</v>
      </c>
      <c r="E14" s="2"/>
      <c r="F14" s="22"/>
      <c r="G14" s="2"/>
      <c r="H14" s="2"/>
      <c r="I14" s="2"/>
      <c r="J14" s="22"/>
      <c r="K14" s="2"/>
      <c r="L14" s="2">
        <f t="shared" si="0"/>
        <v>134</v>
      </c>
      <c r="M14" s="2"/>
      <c r="N14" s="22">
        <f t="shared" si="1"/>
        <v>0</v>
      </c>
      <c r="O14" s="11"/>
      <c r="P14" s="2">
        <f>--244</f>
        <v>244</v>
      </c>
      <c r="Q14" s="2"/>
      <c r="R14" s="22"/>
      <c r="S14" s="2"/>
      <c r="T14" s="2"/>
      <c r="U14" s="2"/>
      <c r="V14" s="22"/>
      <c r="W14" s="2"/>
      <c r="X14" s="2">
        <f t="shared" si="2"/>
        <v>244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-430</v>
      </c>
      <c r="E16" s="4"/>
      <c r="F16" s="12">
        <f t="shared" ref="F16:F18" si="4">IF(D$12=0,0,D16/D$12)</f>
        <v>-3.2089552238805972</v>
      </c>
      <c r="G16" s="4"/>
      <c r="H16" s="4">
        <f>SUM(OSRRefH16x_0)</f>
        <v>214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-644</v>
      </c>
      <c r="M16" s="4"/>
      <c r="N16" s="12">
        <f t="shared" ref="N16:N18" si="7">IF(H16=0,0,L16/H16)</f>
        <v>-3.0093457943925235</v>
      </c>
      <c r="O16" s="10"/>
      <c r="P16" s="4">
        <f>SUM(OSRRefP16x_0)</f>
        <v>-361.09</v>
      </c>
      <c r="Q16" s="4"/>
      <c r="R16" s="12">
        <f t="shared" ref="R16:R18" si="8">IF(P$12=0,0,P16/P$12)</f>
        <v>-1.4798770491803277</v>
      </c>
      <c r="S16" s="4"/>
      <c r="T16" s="4">
        <f>SUM(OSRRefT16x_0)</f>
        <v>1439</v>
      </c>
      <c r="U16" s="4"/>
      <c r="V16" s="12">
        <f t="shared" ref="V16:V18" si="9">IF(T$12=0,0,T16/T$12)</f>
        <v>0.50034770514603621</v>
      </c>
      <c r="W16" s="4"/>
      <c r="X16" s="4">
        <f t="shared" ref="X16:X18" si="10">+P16-T16</f>
        <v>-1800.09</v>
      </c>
      <c r="Y16" s="4"/>
      <c r="Z16" s="12">
        <f t="shared" ref="Z16:Z18" si="11">IF(T16=0,0,X16/T16)</f>
        <v>-1.2509312022237664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4"/>
        <v>0</v>
      </c>
      <c r="G17" s="2"/>
      <c r="H17" s="2">
        <v>214</v>
      </c>
      <c r="I17" s="2"/>
      <c r="J17" s="22">
        <f t="shared" si="5"/>
        <v>0.5</v>
      </c>
      <c r="K17" s="2"/>
      <c r="L17" s="2">
        <f t="shared" si="6"/>
        <v>-214</v>
      </c>
      <c r="M17" s="2"/>
      <c r="N17" s="22">
        <f t="shared" si="7"/>
        <v>-1</v>
      </c>
      <c r="O17" s="11"/>
      <c r="P17" s="2"/>
      <c r="Q17" s="2"/>
      <c r="R17" s="22">
        <f t="shared" si="8"/>
        <v>0</v>
      </c>
      <c r="S17" s="2"/>
      <c r="T17" s="2">
        <v>1439</v>
      </c>
      <c r="U17" s="2"/>
      <c r="V17" s="22">
        <f t="shared" si="9"/>
        <v>0.50034770514603621</v>
      </c>
      <c r="W17" s="2"/>
      <c r="X17" s="2">
        <f t="shared" si="10"/>
        <v>-1439</v>
      </c>
      <c r="Y17" s="2"/>
      <c r="Z17" s="22">
        <f t="shared" si="11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>
        <v>-430</v>
      </c>
      <c r="E18" s="2"/>
      <c r="F18" s="22">
        <f t="shared" si="4"/>
        <v>-3.2089552238805972</v>
      </c>
      <c r="G18" s="2"/>
      <c r="H18" s="2"/>
      <c r="I18" s="2"/>
      <c r="J18" s="22">
        <f t="shared" si="5"/>
        <v>0</v>
      </c>
      <c r="K18" s="2"/>
      <c r="L18" s="2">
        <f t="shared" si="6"/>
        <v>-430</v>
      </c>
      <c r="M18" s="2"/>
      <c r="N18" s="22">
        <f t="shared" si="7"/>
        <v>0</v>
      </c>
      <c r="O18" s="11"/>
      <c r="P18" s="2">
        <v>-361.09</v>
      </c>
      <c r="Q18" s="2"/>
      <c r="R18" s="22">
        <f t="shared" si="8"/>
        <v>-1.4798770491803277</v>
      </c>
      <c r="S18" s="2"/>
      <c r="T18" s="2"/>
      <c r="U18" s="2"/>
      <c r="V18" s="22">
        <f t="shared" si="9"/>
        <v>0</v>
      </c>
      <c r="W18" s="2"/>
      <c r="X18" s="2">
        <f t="shared" si="10"/>
        <v>-361.09</v>
      </c>
      <c r="Y18" s="2"/>
      <c r="Z18" s="22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19">
        <f>D12-D16</f>
        <v>564</v>
      </c>
      <c r="E20" s="13"/>
      <c r="F20" s="21">
        <f>IF(D$12=0,0,D20/D$12)</f>
        <v>4.2089552238805972</v>
      </c>
      <c r="G20" s="13"/>
      <c r="H20" s="19">
        <f>H12-H16</f>
        <v>214</v>
      </c>
      <c r="I20" s="13"/>
      <c r="J20" s="21">
        <f>IF(H$12=0,0,H20/H$12)</f>
        <v>0.5</v>
      </c>
      <c r="K20" s="15"/>
      <c r="L20" s="19">
        <f>+D20-H20</f>
        <v>350</v>
      </c>
      <c r="M20" s="15"/>
      <c r="N20" s="21">
        <f>IF(H20=0,0,L20/H20)</f>
        <v>1.6355140186915889</v>
      </c>
      <c r="O20" s="26"/>
      <c r="P20" s="19">
        <f>P12-P16</f>
        <v>605.08999999999992</v>
      </c>
      <c r="Q20" s="13"/>
      <c r="R20" s="21">
        <f>IF(P$12=0,0,P20/P$12)</f>
        <v>2.4798770491803275</v>
      </c>
      <c r="S20" s="13"/>
      <c r="T20" s="19">
        <f>T12-T16</f>
        <v>1437</v>
      </c>
      <c r="U20" s="13"/>
      <c r="V20" s="21">
        <f>IF(T$12=0,0,T20/T$12)</f>
        <v>0.49965229485396384</v>
      </c>
      <c r="W20" s="15"/>
      <c r="X20" s="19">
        <f>+P20-T20</f>
        <v>-831.91000000000008</v>
      </c>
      <c r="Y20" s="15"/>
      <c r="Z20" s="21">
        <f>IF(T20=0,0,X20/T20)</f>
        <v>-0.57892136395267924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0</v>
      </c>
      <c r="E22" s="20"/>
      <c r="F22" s="33">
        <f t="shared" ref="F22:F24" si="12">IF(D$12=0,0,D22/D$12)</f>
        <v>0</v>
      </c>
      <c r="G22" s="20"/>
      <c r="H22" s="20">
        <f>SUM(OSRRefH22x_0)</f>
        <v>37</v>
      </c>
      <c r="I22" s="20"/>
      <c r="J22" s="33">
        <f t="shared" ref="J22:J24" si="13">IF(H$12=0,0,H22/H$12)</f>
        <v>8.6448598130841117E-2</v>
      </c>
      <c r="K22" s="4"/>
      <c r="L22" s="20">
        <f t="shared" ref="L22:L24" si="14">+D22-H22</f>
        <v>-37</v>
      </c>
      <c r="M22" s="4"/>
      <c r="N22" s="33">
        <f t="shared" ref="N22:N24" si="15">IF(H22=0,0,L22/H22)</f>
        <v>-1</v>
      </c>
      <c r="O22" s="10"/>
      <c r="P22" s="20">
        <f>SUM(OSRRefP22x_0)</f>
        <v>0</v>
      </c>
      <c r="Q22" s="20"/>
      <c r="R22" s="33">
        <f t="shared" ref="R22:R24" si="16">IF(P$12=0,0,P22/P$12)</f>
        <v>0</v>
      </c>
      <c r="S22" s="20"/>
      <c r="T22" s="20">
        <f>SUM(OSRRefT22x_0)</f>
        <v>251</v>
      </c>
      <c r="U22" s="20"/>
      <c r="V22" s="33">
        <f t="shared" ref="V22:V24" si="17">IF(T$12=0,0,T22/T$12)</f>
        <v>8.7273991655076488E-2</v>
      </c>
      <c r="W22" s="4"/>
      <c r="X22" s="20">
        <f t="shared" ref="X22:X24" si="18">+P22-T22</f>
        <v>-251</v>
      </c>
      <c r="Y22" s="4"/>
      <c r="Z22" s="33">
        <f t="shared" ref="Z22:Z24" si="19">IF(T22=0,0,X22/T22)</f>
        <v>-1</v>
      </c>
    </row>
    <row r="23" spans="1:26" s="28" customFormat="1" outlineLevel="1" collapsed="1" x14ac:dyDescent="0.25">
      <c r="A23" s="29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2"/>
        <v>0</v>
      </c>
      <c r="G23" s="1"/>
      <c r="H23" s="1">
        <f>SUM(OSRRefH22_0x_0)</f>
        <v>37</v>
      </c>
      <c r="I23" s="1"/>
      <c r="J23" s="5">
        <f t="shared" si="13"/>
        <v>8.6448598130841117E-2</v>
      </c>
      <c r="K23" s="1"/>
      <c r="L23" s="1">
        <f t="shared" si="14"/>
        <v>-37</v>
      </c>
      <c r="M23" s="1"/>
      <c r="N23" s="5">
        <f t="shared" si="15"/>
        <v>-1</v>
      </c>
      <c r="O23" s="14"/>
      <c r="P23" s="1">
        <f>SUM(OSRRefP22_0x_0)</f>
        <v>0</v>
      </c>
      <c r="Q23" s="1"/>
      <c r="R23" s="5">
        <f t="shared" si="16"/>
        <v>0</v>
      </c>
      <c r="S23" s="1"/>
      <c r="T23" s="1">
        <f>SUM(OSRRefT22_0x_0)</f>
        <v>251</v>
      </c>
      <c r="U23" s="1"/>
      <c r="V23" s="5">
        <f t="shared" si="17"/>
        <v>8.7273991655076488E-2</v>
      </c>
      <c r="W23" s="1"/>
      <c r="X23" s="1">
        <f t="shared" si="18"/>
        <v>-251</v>
      </c>
      <c r="Y23" s="1"/>
      <c r="Z23" s="5">
        <f t="shared" si="19"/>
        <v>-1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2"/>
        <v>0</v>
      </c>
      <c r="G24" s="2"/>
      <c r="H24" s="7">
        <v>37</v>
      </c>
      <c r="I24" s="2"/>
      <c r="J24" s="6">
        <f t="shared" si="13"/>
        <v>8.6448598130841117E-2</v>
      </c>
      <c r="K24" s="2"/>
      <c r="L24" s="7">
        <f t="shared" si="14"/>
        <v>-37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251</v>
      </c>
      <c r="U24" s="2"/>
      <c r="V24" s="6">
        <f t="shared" si="17"/>
        <v>8.7273991655076488E-2</v>
      </c>
      <c r="W24" s="2"/>
      <c r="X24" s="7">
        <f t="shared" si="18"/>
        <v>-251</v>
      </c>
      <c r="Y24" s="2"/>
      <c r="Z24" s="6">
        <f t="shared" si="19"/>
        <v>-1</v>
      </c>
    </row>
    <row r="25" spans="1:26" s="58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3</v>
      </c>
      <c r="C28" s="25"/>
      <c r="D28" s="19">
        <f>+D20-D22+D26</f>
        <v>564</v>
      </c>
      <c r="E28" s="13"/>
      <c r="F28" s="21">
        <f>IF(D$12=0,0,D28/D$12)</f>
        <v>4.2089552238805972</v>
      </c>
      <c r="G28" s="13"/>
      <c r="H28" s="19">
        <f>+H20-H22+H26</f>
        <v>177</v>
      </c>
      <c r="I28" s="13"/>
      <c r="J28" s="21">
        <f>IF(H$12=0,0,H28/H$12)</f>
        <v>0.4135514018691589</v>
      </c>
      <c r="K28" s="15"/>
      <c r="L28" s="19">
        <f>+D28-H28</f>
        <v>387</v>
      </c>
      <c r="M28" s="15"/>
      <c r="N28" s="21">
        <f>IF(H28=0,0,L28/H28)</f>
        <v>2.1864406779661016</v>
      </c>
      <c r="O28" s="26"/>
      <c r="P28" s="19">
        <f>+P20-P22+P26</f>
        <v>605.08999999999992</v>
      </c>
      <c r="Q28" s="13"/>
      <c r="R28" s="21">
        <f>IF(P$12=0,0,P28/P$12)</f>
        <v>2.4798770491803275</v>
      </c>
      <c r="S28" s="13"/>
      <c r="T28" s="19">
        <f>+T20-T22+T26</f>
        <v>1186</v>
      </c>
      <c r="U28" s="13"/>
      <c r="V28" s="21">
        <f>IF(T$12=0,0,T28/T$12)</f>
        <v>0.41237830319888735</v>
      </c>
      <c r="W28" s="15"/>
      <c r="X28" s="19">
        <f>+P28-T28</f>
        <v>-580.91000000000008</v>
      </c>
      <c r="Y28" s="15"/>
      <c r="Z28" s="21">
        <f>IF(T28=0,0,X28/T28)</f>
        <v>-0.48980607082630701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28.35</v>
      </c>
      <c r="E30" s="4"/>
      <c r="F30" s="12">
        <f>IF(D$12=0,0,D30/D$12)</f>
        <v>0.21156716417910448</v>
      </c>
      <c r="G30" s="4"/>
      <c r="H30" s="4">
        <v>70</v>
      </c>
      <c r="I30" s="4"/>
      <c r="J30" s="12">
        <f>IF(H$12=0,0,H30/H$12)</f>
        <v>0.16355140186915887</v>
      </c>
      <c r="K30" s="4"/>
      <c r="L30" s="4">
        <f>+D30-H30</f>
        <v>-41.65</v>
      </c>
      <c r="M30" s="4"/>
      <c r="N30" s="12">
        <f>IF(H30=0,0,L30/H30)</f>
        <v>-0.59499999999999997</v>
      </c>
      <c r="O30" s="10"/>
      <c r="P30" s="4">
        <v>48.32</v>
      </c>
      <c r="Q30" s="4"/>
      <c r="R30" s="12">
        <f>IF(P$12=0,0,P30/P$12)</f>
        <v>0.19803278688524589</v>
      </c>
      <c r="S30" s="4"/>
      <c r="T30" s="4">
        <v>494</v>
      </c>
      <c r="U30" s="4"/>
      <c r="V30" s="12">
        <f>IF(T$12=0,0,T30/T$12)</f>
        <v>0.1717663421418637</v>
      </c>
      <c r="W30" s="4"/>
      <c r="X30" s="4">
        <f>+P30-T30</f>
        <v>-445.68</v>
      </c>
      <c r="Y30" s="4"/>
      <c r="Z30" s="12">
        <f>IF(T30=0,0,X30/T30)</f>
        <v>-0.90218623481781379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4</v>
      </c>
      <c r="C32" s="25"/>
      <c r="D32" s="34">
        <f>+D28-D30</f>
        <v>535.65</v>
      </c>
      <c r="E32" s="13"/>
      <c r="F32" s="30">
        <f>IF(D$12=0,0,D32/D$12)</f>
        <v>3.9973880597014926</v>
      </c>
      <c r="G32" s="13"/>
      <c r="H32" s="34">
        <f>+H28-H30</f>
        <v>107</v>
      </c>
      <c r="I32" s="13"/>
      <c r="J32" s="30">
        <f>IF(H$12=0,0,H32/H$12)</f>
        <v>0.25</v>
      </c>
      <c r="K32" s="15"/>
      <c r="L32" s="34">
        <f>D32-H32</f>
        <v>428.65</v>
      </c>
      <c r="M32" s="15"/>
      <c r="N32" s="30">
        <f>IF(H32=0,0,L32/H32)</f>
        <v>4.0060747663551401</v>
      </c>
      <c r="O32" s="26"/>
      <c r="P32" s="34">
        <f>+P28-P30</f>
        <v>556.76999999999987</v>
      </c>
      <c r="Q32" s="13"/>
      <c r="R32" s="30">
        <f>IF(P$12=0,0,P32/P$12)</f>
        <v>2.2818442622950816</v>
      </c>
      <c r="S32" s="13"/>
      <c r="T32" s="34">
        <f>+T28-T30</f>
        <v>692</v>
      </c>
      <c r="U32" s="13"/>
      <c r="V32" s="30">
        <f>IF(T$12=0,0,T32/T$12)</f>
        <v>0.24061196105702365</v>
      </c>
      <c r="W32" s="15"/>
      <c r="X32" s="34">
        <f>P32-T32</f>
        <v>-135.23000000000013</v>
      </c>
      <c r="Y32" s="15"/>
      <c r="Z32" s="30">
        <f>IF(T32=0,0,X32/T32)</f>
        <v>-0.19541907514450887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5</v>
      </c>
      <c r="C35" s="25"/>
      <c r="D35" s="35">
        <f>SUM(D32:D34)</f>
        <v>535.65</v>
      </c>
      <c r="E35" s="13"/>
      <c r="F35" s="31">
        <f>IF(D$12=0,0,D35/D$12)</f>
        <v>3.9973880597014926</v>
      </c>
      <c r="G35" s="13"/>
      <c r="H35" s="35">
        <f>SUM(H32:H34)</f>
        <v>107</v>
      </c>
      <c r="I35" s="13"/>
      <c r="J35" s="31">
        <f>IF(H$12=0,0,H35/H$12)</f>
        <v>0.25</v>
      </c>
      <c r="K35" s="15"/>
      <c r="L35" s="35">
        <f>+D35-H35</f>
        <v>428.65</v>
      </c>
      <c r="M35" s="15"/>
      <c r="N35" s="31">
        <f>IF(H35=0,0,L35/H35)</f>
        <v>4.0060747663551401</v>
      </c>
      <c r="O35" s="26"/>
      <c r="P35" s="35">
        <f>SUM(P32:P34)</f>
        <v>556.76999999999987</v>
      </c>
      <c r="Q35" s="13"/>
      <c r="R35" s="31">
        <f>IF(P$12=0,0,P35/P$12)</f>
        <v>2.2818442622950816</v>
      </c>
      <c r="S35" s="13"/>
      <c r="T35" s="35">
        <f>SUM(T32:T34)</f>
        <v>692</v>
      </c>
      <c r="U35" s="13"/>
      <c r="V35" s="31">
        <f>IF(T$12=0,0,T35/T$12)</f>
        <v>0.24061196105702365</v>
      </c>
      <c r="W35" s="15"/>
      <c r="X35" s="35">
        <f>+P35-T35</f>
        <v>-135.23000000000013</v>
      </c>
      <c r="Y35" s="15"/>
      <c r="Z35" s="31">
        <f>IF(T35=0,0,X35/T35)</f>
        <v>-0.19541907514450887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3">
        <v>44267.671990196759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s">
        <v>314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134623.31</v>
      </c>
      <c r="E12" s="4"/>
      <c r="F12" s="12"/>
      <c r="G12" s="4"/>
      <c r="H12" s="4">
        <f>SUM(OSRRefH13x_0)</f>
        <v>608129</v>
      </c>
      <c r="I12" s="4"/>
      <c r="J12" s="12"/>
      <c r="K12" s="4"/>
      <c r="L12" s="4">
        <f t="shared" ref="L12:L20" si="0">+D12-H12</f>
        <v>-473505.69</v>
      </c>
      <c r="M12" s="4"/>
      <c r="N12" s="12">
        <f t="shared" ref="N12:N20" si="1">IF(H12=0,0,L12/H12)</f>
        <v>-0.7786270511684199</v>
      </c>
      <c r="O12" s="10"/>
      <c r="P12" s="4">
        <f>SUM(OSRRefP13x_0)</f>
        <v>1085661.78</v>
      </c>
      <c r="Q12" s="4"/>
      <c r="R12" s="12"/>
      <c r="S12" s="4"/>
      <c r="T12" s="4">
        <f>SUM(OSRRefT13x_0)</f>
        <v>2808643</v>
      </c>
      <c r="U12" s="4"/>
      <c r="V12" s="12"/>
      <c r="W12" s="4"/>
      <c r="X12" s="4">
        <f t="shared" ref="X12:X20" si="2">+P12-T12</f>
        <v>-1722981.22</v>
      </c>
      <c r="Y12" s="4"/>
      <c r="Z12" s="12">
        <f t="shared" ref="Z12:Z20" si="3">IF(T12=0,0,X12/T12)</f>
        <v>-0.61345682594761952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15749</v>
      </c>
      <c r="I13" s="2"/>
      <c r="J13" s="22"/>
      <c r="K13" s="2"/>
      <c r="L13" s="2">
        <f t="shared" si="0"/>
        <v>-15749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50806</v>
      </c>
      <c r="U13" s="2"/>
      <c r="V13" s="22"/>
      <c r="W13" s="2"/>
      <c r="X13" s="2">
        <f t="shared" si="2"/>
        <v>-50806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--49980.95</f>
        <v>49980.95</v>
      </c>
      <c r="E15" s="2"/>
      <c r="F15" s="22"/>
      <c r="G15" s="2"/>
      <c r="H15" s="2"/>
      <c r="I15" s="2"/>
      <c r="J15" s="22"/>
      <c r="K15" s="2"/>
      <c r="L15" s="2">
        <f t="shared" si="0"/>
        <v>49980.95</v>
      </c>
      <c r="M15" s="2"/>
      <c r="N15" s="22">
        <f t="shared" si="1"/>
        <v>0</v>
      </c>
      <c r="O15" s="11"/>
      <c r="P15" s="2">
        <f>--280157.8</f>
        <v>280157.8</v>
      </c>
      <c r="Q15" s="2"/>
      <c r="R15" s="22"/>
      <c r="S15" s="2"/>
      <c r="T15" s="2"/>
      <c r="U15" s="2"/>
      <c r="V15" s="22"/>
      <c r="W15" s="2"/>
      <c r="X15" s="2">
        <f t="shared" si="2"/>
        <v>280157.8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--180.69</f>
        <v>180.69</v>
      </c>
      <c r="E16" s="2"/>
      <c r="F16" s="22"/>
      <c r="G16" s="2"/>
      <c r="H16" s="2"/>
      <c r="I16" s="2"/>
      <c r="J16" s="22"/>
      <c r="K16" s="2"/>
      <c r="L16" s="2">
        <f t="shared" si="0"/>
        <v>180.69</v>
      </c>
      <c r="M16" s="2"/>
      <c r="N16" s="22">
        <f t="shared" si="1"/>
        <v>0</v>
      </c>
      <c r="O16" s="11"/>
      <c r="P16" s="2">
        <f>--760.21</f>
        <v>760.21</v>
      </c>
      <c r="Q16" s="2"/>
      <c r="R16" s="22"/>
      <c r="S16" s="2"/>
      <c r="T16" s="2"/>
      <c r="U16" s="2"/>
      <c r="V16" s="22"/>
      <c r="W16" s="2"/>
      <c r="X16" s="2">
        <f t="shared" si="2"/>
        <v>760.21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592380</v>
      </c>
      <c r="I18" s="2"/>
      <c r="J18" s="22"/>
      <c r="K18" s="2"/>
      <c r="L18" s="2">
        <f t="shared" si="0"/>
        <v>-592380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2757837</v>
      </c>
      <c r="U18" s="2"/>
      <c r="V18" s="22"/>
      <c r="W18" s="2"/>
      <c r="X18" s="2">
        <f t="shared" si="2"/>
        <v>-2757837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--78596.26</f>
        <v>78596.259999999995</v>
      </c>
      <c r="E19" s="2"/>
      <c r="F19" s="22"/>
      <c r="G19" s="2"/>
      <c r="H19" s="2"/>
      <c r="I19" s="2"/>
      <c r="J19" s="22"/>
      <c r="K19" s="2"/>
      <c r="L19" s="2">
        <f t="shared" si="0"/>
        <v>78596.259999999995</v>
      </c>
      <c r="M19" s="2"/>
      <c r="N19" s="22">
        <f t="shared" si="1"/>
        <v>0</v>
      </c>
      <c r="O19" s="11"/>
      <c r="P19" s="2">
        <f>--742969.81</f>
        <v>742969.81</v>
      </c>
      <c r="Q19" s="2"/>
      <c r="R19" s="22"/>
      <c r="S19" s="2"/>
      <c r="T19" s="2"/>
      <c r="U19" s="2"/>
      <c r="V19" s="22"/>
      <c r="W19" s="2"/>
      <c r="X19" s="2">
        <f t="shared" si="2"/>
        <v>742969.81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--5865.41</f>
        <v>5865.41</v>
      </c>
      <c r="E20" s="2"/>
      <c r="F20" s="22"/>
      <c r="G20" s="2"/>
      <c r="H20" s="2"/>
      <c r="I20" s="2"/>
      <c r="J20" s="22"/>
      <c r="K20" s="2"/>
      <c r="L20" s="2">
        <f t="shared" si="0"/>
        <v>5865.41</v>
      </c>
      <c r="M20" s="2"/>
      <c r="N20" s="22">
        <f t="shared" si="1"/>
        <v>0</v>
      </c>
      <c r="O20" s="11"/>
      <c r="P20" s="2">
        <f>--37834.57</f>
        <v>37834.57</v>
      </c>
      <c r="Q20" s="2"/>
      <c r="R20" s="22"/>
      <c r="S20" s="2"/>
      <c r="T20" s="2"/>
      <c r="U20" s="2"/>
      <c r="V20" s="22"/>
      <c r="W20" s="2"/>
      <c r="X20" s="2">
        <f t="shared" si="2"/>
        <v>37834.57</v>
      </c>
      <c r="Y20" s="2"/>
      <c r="Z20" s="22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37922.839999999997</v>
      </c>
      <c r="E22" s="4"/>
      <c r="F22" s="12">
        <f t="shared" ref="F22:F25" si="6">IF(D$12=0,0,D22/D$12)</f>
        <v>0.28169594106696677</v>
      </c>
      <c r="G22" s="4"/>
      <c r="H22" s="4">
        <f>SUM(OSRRefH16x_0)</f>
        <v>162398</v>
      </c>
      <c r="I22" s="4"/>
      <c r="J22" s="12">
        <f t="shared" ref="J22:J25" si="7">IF(H$12=0,0,H22/H$12)</f>
        <v>0.26704531439875423</v>
      </c>
      <c r="K22" s="4"/>
      <c r="L22" s="4">
        <f t="shared" ref="L22:L25" si="8">+D22-H22</f>
        <v>-124475.16</v>
      </c>
      <c r="M22" s="4"/>
      <c r="N22" s="12">
        <f t="shared" ref="N22:N25" si="9">IF(H22=0,0,L22/H22)</f>
        <v>-0.76648209953324553</v>
      </c>
      <c r="O22" s="10"/>
      <c r="P22" s="4">
        <f>SUM(OSRRefP16x_0)</f>
        <v>340943.57</v>
      </c>
      <c r="Q22" s="4"/>
      <c r="R22" s="12">
        <f t="shared" ref="R22:R25" si="10">IF(P$12=0,0,P22/P$12)</f>
        <v>0.31404215961254528</v>
      </c>
      <c r="S22" s="4"/>
      <c r="T22" s="4">
        <f>SUM(OSRRefT16x_0)</f>
        <v>769794</v>
      </c>
      <c r="U22" s="4"/>
      <c r="V22" s="12">
        <f t="shared" ref="V22:V25" si="11">IF(T$12=0,0,T22/T$12)</f>
        <v>0.27408040110473281</v>
      </c>
      <c r="W22" s="4"/>
      <c r="X22" s="4">
        <f t="shared" ref="X22:X25" si="12">+P22-T22</f>
        <v>-428850.43</v>
      </c>
      <c r="Y22" s="4"/>
      <c r="Z22" s="12">
        <f t="shared" ref="Z22:Z25" si="13">IF(T22=0,0,X22/T22)</f>
        <v>-0.55709765209913298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6"/>
        <v>0</v>
      </c>
      <c r="G23" s="2"/>
      <c r="H23" s="2">
        <v>162398</v>
      </c>
      <c r="I23" s="2"/>
      <c r="J23" s="22">
        <f t="shared" si="7"/>
        <v>0.26704531439875423</v>
      </c>
      <c r="K23" s="2"/>
      <c r="L23" s="2">
        <f t="shared" si="8"/>
        <v>-162398</v>
      </c>
      <c r="M23" s="2"/>
      <c r="N23" s="22">
        <f t="shared" si="9"/>
        <v>-1</v>
      </c>
      <c r="O23" s="11"/>
      <c r="P23" s="2"/>
      <c r="Q23" s="2"/>
      <c r="R23" s="22">
        <f t="shared" si="10"/>
        <v>0</v>
      </c>
      <c r="S23" s="2"/>
      <c r="T23" s="2">
        <v>769794</v>
      </c>
      <c r="U23" s="2"/>
      <c r="V23" s="22">
        <f t="shared" si="11"/>
        <v>0.27408040110473281</v>
      </c>
      <c r="W23" s="2"/>
      <c r="X23" s="2">
        <f t="shared" si="12"/>
        <v>-769794</v>
      </c>
      <c r="Y23" s="2"/>
      <c r="Z23" s="22">
        <f t="shared" si="13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44580.84</v>
      </c>
      <c r="E24" s="2"/>
      <c r="F24" s="22">
        <f t="shared" si="6"/>
        <v>0.33115245792129161</v>
      </c>
      <c r="G24" s="2"/>
      <c r="H24" s="2"/>
      <c r="I24" s="2"/>
      <c r="J24" s="22">
        <f t="shared" si="7"/>
        <v>0</v>
      </c>
      <c r="K24" s="2"/>
      <c r="L24" s="2">
        <f t="shared" si="8"/>
        <v>44580.84</v>
      </c>
      <c r="M24" s="2"/>
      <c r="N24" s="22">
        <f t="shared" si="9"/>
        <v>0</v>
      </c>
      <c r="O24" s="11"/>
      <c r="P24" s="2">
        <v>345104.19</v>
      </c>
      <c r="Q24" s="2"/>
      <c r="R24" s="22">
        <f t="shared" si="10"/>
        <v>0.31787449494629899</v>
      </c>
      <c r="S24" s="2"/>
      <c r="T24" s="2"/>
      <c r="U24" s="2"/>
      <c r="V24" s="22">
        <f t="shared" si="11"/>
        <v>0</v>
      </c>
      <c r="W24" s="2"/>
      <c r="X24" s="2">
        <f t="shared" si="12"/>
        <v>345104.19</v>
      </c>
      <c r="Y24" s="2"/>
      <c r="Z24" s="22">
        <f t="shared" si="13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-6658</v>
      </c>
      <c r="E25" s="2"/>
      <c r="F25" s="22">
        <f t="shared" si="6"/>
        <v>-4.945651685432486E-2</v>
      </c>
      <c r="G25" s="2"/>
      <c r="H25" s="2"/>
      <c r="I25" s="2"/>
      <c r="J25" s="22">
        <f t="shared" si="7"/>
        <v>0</v>
      </c>
      <c r="K25" s="2"/>
      <c r="L25" s="2">
        <f t="shared" si="8"/>
        <v>-6658</v>
      </c>
      <c r="M25" s="2"/>
      <c r="N25" s="22">
        <f t="shared" si="9"/>
        <v>0</v>
      </c>
      <c r="O25" s="11"/>
      <c r="P25" s="2">
        <v>-4160.62</v>
      </c>
      <c r="Q25" s="2"/>
      <c r="R25" s="22">
        <f t="shared" si="10"/>
        <v>-3.8323353337537587E-3</v>
      </c>
      <c r="S25" s="2"/>
      <c r="T25" s="2"/>
      <c r="U25" s="2"/>
      <c r="V25" s="22">
        <f t="shared" si="11"/>
        <v>0</v>
      </c>
      <c r="W25" s="2"/>
      <c r="X25" s="2">
        <f t="shared" si="12"/>
        <v>-4160.62</v>
      </c>
      <c r="Y25" s="2"/>
      <c r="Z25" s="22">
        <f t="shared" si="13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19">
        <f>D12-D22</f>
        <v>96700.47</v>
      </c>
      <c r="E27" s="13"/>
      <c r="F27" s="21">
        <f>IF(D$12=0,0,D27/D$12)</f>
        <v>0.71830405893303328</v>
      </c>
      <c r="G27" s="13"/>
      <c r="H27" s="19">
        <f>H12-H22</f>
        <v>445731</v>
      </c>
      <c r="I27" s="13"/>
      <c r="J27" s="21">
        <f>IF(H$12=0,0,H27/H$12)</f>
        <v>0.73295468560124577</v>
      </c>
      <c r="K27" s="15"/>
      <c r="L27" s="19">
        <f>+D27-H27</f>
        <v>-349030.53</v>
      </c>
      <c r="M27" s="15"/>
      <c r="N27" s="21">
        <f>IF(H27=0,0,L27/H27)</f>
        <v>-0.78305195285946017</v>
      </c>
      <c r="O27" s="26"/>
      <c r="P27" s="19">
        <f>P12-P22</f>
        <v>744718.21</v>
      </c>
      <c r="Q27" s="13"/>
      <c r="R27" s="21">
        <f>IF(P$12=0,0,P27/P$12)</f>
        <v>0.68595784038745466</v>
      </c>
      <c r="S27" s="13"/>
      <c r="T27" s="19">
        <f>T12-T22</f>
        <v>2038849</v>
      </c>
      <c r="U27" s="13"/>
      <c r="V27" s="21">
        <f>IF(T$12=0,0,T27/T$12)</f>
        <v>0.72591959889526725</v>
      </c>
      <c r="W27" s="15"/>
      <c r="X27" s="19">
        <f>+P27-T27</f>
        <v>-1294130.79</v>
      </c>
      <c r="Y27" s="15"/>
      <c r="Z27" s="21">
        <f>IF(T27=0,0,X27/T27)</f>
        <v>-0.63473596622408035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20">
        <f>SUM(OSRRefD22x_0)</f>
        <v>319426.62999999989</v>
      </c>
      <c r="E29" s="20"/>
      <c r="F29" s="33">
        <f t="shared" ref="F29:F40" si="14">IF(D$12=0,0,D29/D$12)</f>
        <v>2.3727438435438848</v>
      </c>
      <c r="G29" s="20"/>
      <c r="H29" s="20">
        <f>SUM(OSRRefH22x_0)</f>
        <v>527697.14746995573</v>
      </c>
      <c r="I29" s="20"/>
      <c r="J29" s="33">
        <f t="shared" ref="J29:J40" si="15">IF(H$12=0,0,H29/H$12)</f>
        <v>0.86773883085653825</v>
      </c>
      <c r="K29" s="4"/>
      <c r="L29" s="20">
        <f t="shared" ref="L29:L40" si="16">+D29-H29</f>
        <v>-208270.51746995584</v>
      </c>
      <c r="M29" s="4"/>
      <c r="N29" s="33">
        <f t="shared" ref="N29:N40" si="17">IF(H29=0,0,L29/H29)</f>
        <v>-0.39467811881968468</v>
      </c>
      <c r="O29" s="10"/>
      <c r="P29" s="20">
        <f>SUM(OSRRefP22x_0)</f>
        <v>2691625.8400000003</v>
      </c>
      <c r="Q29" s="20"/>
      <c r="R29" s="33">
        <f t="shared" ref="R29:R40" si="18">IF(P$12=0,0,P29/P$12)</f>
        <v>2.4792489609425141</v>
      </c>
      <c r="S29" s="20"/>
      <c r="T29" s="20">
        <f>SUM(OSRRefT22x_0)</f>
        <v>3797027.9098730586</v>
      </c>
      <c r="U29" s="20"/>
      <c r="V29" s="33">
        <f t="shared" ref="V29:V40" si="19">IF(T$12=0,0,T29/T$12)</f>
        <v>1.3519083450168137</v>
      </c>
      <c r="W29" s="4"/>
      <c r="X29" s="20">
        <f t="shared" ref="X29:X40" si="20">+P29-T29</f>
        <v>-1105402.0698730582</v>
      </c>
      <c r="Y29" s="4"/>
      <c r="Z29" s="33">
        <f t="shared" ref="Z29:Z40" si="21">IF(T29=0,0,X29/T29)</f>
        <v>-0.29112297726302827</v>
      </c>
    </row>
    <row r="30" spans="1:26" s="28" customFormat="1" outlineLevel="1" collapsed="1" x14ac:dyDescent="0.25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93584.98</v>
      </c>
      <c r="E30" s="1"/>
      <c r="F30" s="5">
        <f t="shared" si="14"/>
        <v>0.69516178141809171</v>
      </c>
      <c r="G30" s="1"/>
      <c r="H30" s="1">
        <f>SUM(OSRRefH22_0x_0)</f>
        <v>112229.3930908531</v>
      </c>
      <c r="I30" s="1"/>
      <c r="J30" s="5">
        <f t="shared" si="15"/>
        <v>0.18454866169982537</v>
      </c>
      <c r="K30" s="1"/>
      <c r="L30" s="1">
        <f t="shared" si="16"/>
        <v>-18644.413090853108</v>
      </c>
      <c r="M30" s="1"/>
      <c r="N30" s="5">
        <f t="shared" si="17"/>
        <v>-0.16612771910616936</v>
      </c>
      <c r="O30" s="14"/>
      <c r="P30" s="1">
        <f>SUM(OSRRefP22_0x_0)</f>
        <v>783348.02</v>
      </c>
      <c r="Q30" s="1"/>
      <c r="R30" s="5">
        <f t="shared" si="18"/>
        <v>0.72153964930035575</v>
      </c>
      <c r="S30" s="1"/>
      <c r="T30" s="1">
        <f>SUM(OSRRefT22_0x_0)</f>
        <v>944703.13042216166</v>
      </c>
      <c r="U30" s="1"/>
      <c r="V30" s="5">
        <f t="shared" si="19"/>
        <v>0.33635571712822232</v>
      </c>
      <c r="W30" s="1"/>
      <c r="X30" s="1">
        <f t="shared" si="20"/>
        <v>-161355.11042216164</v>
      </c>
      <c r="Y30" s="1"/>
      <c r="Z30" s="5">
        <f t="shared" si="21"/>
        <v>-0.17079980496101088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7">
        <v>9406.1299999999992</v>
      </c>
      <c r="E31" s="2"/>
      <c r="F31" s="6">
        <f t="shared" si="14"/>
        <v>6.9869995025378592E-2</v>
      </c>
      <c r="G31" s="2"/>
      <c r="H31" s="7">
        <v>11521.50807052615</v>
      </c>
      <c r="I31" s="2"/>
      <c r="J31" s="6">
        <f t="shared" si="15"/>
        <v>1.8945829043716299E-2</v>
      </c>
      <c r="K31" s="2"/>
      <c r="L31" s="7">
        <f t="shared" si="16"/>
        <v>-2115.3780705261506</v>
      </c>
      <c r="M31" s="2"/>
      <c r="N31" s="6">
        <f t="shared" si="17"/>
        <v>-0.18360253341640442</v>
      </c>
      <c r="O31" s="11"/>
      <c r="P31" s="7">
        <v>83461.400000000009</v>
      </c>
      <c r="Q31" s="2"/>
      <c r="R31" s="6">
        <f t="shared" si="18"/>
        <v>7.6876059871979652E-2</v>
      </c>
      <c r="S31" s="2"/>
      <c r="T31" s="7">
        <v>99924.651705103824</v>
      </c>
      <c r="U31" s="2"/>
      <c r="V31" s="6">
        <f t="shared" si="19"/>
        <v>3.5577555319456347E-2</v>
      </c>
      <c r="W31" s="2"/>
      <c r="X31" s="7">
        <f t="shared" si="20"/>
        <v>-16463.251705103816</v>
      </c>
      <c r="Y31" s="2"/>
      <c r="Z31" s="6">
        <f t="shared" si="21"/>
        <v>-0.16475665838385831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7">
        <v>5336.1</v>
      </c>
      <c r="E32" s="2"/>
      <c r="F32" s="6">
        <f t="shared" si="14"/>
        <v>3.9637266384253966E-2</v>
      </c>
      <c r="G32" s="2"/>
      <c r="H32" s="7">
        <v>8392.0384490884608</v>
      </c>
      <c r="I32" s="2"/>
      <c r="J32" s="6">
        <f t="shared" si="15"/>
        <v>1.3799766906509081E-2</v>
      </c>
      <c r="K32" s="2"/>
      <c r="L32" s="7">
        <f t="shared" si="16"/>
        <v>-3055.9384490884604</v>
      </c>
      <c r="M32" s="2"/>
      <c r="N32" s="6">
        <f t="shared" si="17"/>
        <v>-0.36414733650563708</v>
      </c>
      <c r="O32" s="11"/>
      <c r="P32" s="7">
        <v>45487.100000000006</v>
      </c>
      <c r="Q32" s="2"/>
      <c r="R32" s="6">
        <f t="shared" si="18"/>
        <v>4.1898039369130231E-2</v>
      </c>
      <c r="S32" s="2"/>
      <c r="T32" s="7">
        <v>65205.768994511534</v>
      </c>
      <c r="U32" s="2"/>
      <c r="V32" s="6">
        <f t="shared" si="19"/>
        <v>2.321611147964036E-2</v>
      </c>
      <c r="W32" s="2"/>
      <c r="X32" s="7">
        <f t="shared" si="20"/>
        <v>-19718.668994511529</v>
      </c>
      <c r="Y32" s="2"/>
      <c r="Z32" s="6">
        <f t="shared" si="21"/>
        <v>-0.30240681612345188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7">
        <v>53968.57</v>
      </c>
      <c r="E33" s="2"/>
      <c r="F33" s="6">
        <f t="shared" si="14"/>
        <v>0.40088577527918456</v>
      </c>
      <c r="G33" s="2"/>
      <c r="H33" s="7">
        <v>66855.384615384639</v>
      </c>
      <c r="I33" s="2"/>
      <c r="J33" s="6">
        <f t="shared" si="15"/>
        <v>0.10993618889312076</v>
      </c>
      <c r="K33" s="2"/>
      <c r="L33" s="7">
        <f t="shared" si="16"/>
        <v>-12886.814615384639</v>
      </c>
      <c r="M33" s="2"/>
      <c r="N33" s="6">
        <f t="shared" si="17"/>
        <v>-0.19275656986377054</v>
      </c>
      <c r="O33" s="11"/>
      <c r="P33" s="7">
        <v>436460.94</v>
      </c>
      <c r="Q33" s="2"/>
      <c r="R33" s="6">
        <f t="shared" si="18"/>
        <v>0.4020229394093619</v>
      </c>
      <c r="S33" s="2"/>
      <c r="T33" s="7">
        <v>566219.49999999988</v>
      </c>
      <c r="U33" s="2"/>
      <c r="V33" s="6">
        <f t="shared" si="19"/>
        <v>0.20159895721884194</v>
      </c>
      <c r="W33" s="2"/>
      <c r="X33" s="7">
        <f t="shared" si="20"/>
        <v>-129758.55999999988</v>
      </c>
      <c r="Y33" s="2"/>
      <c r="Z33" s="6">
        <f t="shared" si="21"/>
        <v>-0.229166533473326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>
        <v>369.62</v>
      </c>
      <c r="E34" s="2"/>
      <c r="F34" s="6">
        <f t="shared" si="14"/>
        <v>2.7455869269593803E-3</v>
      </c>
      <c r="G34" s="2"/>
      <c r="H34" s="7">
        <v>535.17454470000007</v>
      </c>
      <c r="I34" s="2"/>
      <c r="J34" s="6">
        <f t="shared" si="15"/>
        <v>8.800345727633447E-4</v>
      </c>
      <c r="K34" s="2"/>
      <c r="L34" s="7">
        <f t="shared" si="16"/>
        <v>-165.55454470000006</v>
      </c>
      <c r="M34" s="2"/>
      <c r="N34" s="6">
        <f t="shared" si="17"/>
        <v>-0.30934682215276904</v>
      </c>
      <c r="O34" s="11"/>
      <c r="P34" s="7">
        <v>3244.12</v>
      </c>
      <c r="Q34" s="2"/>
      <c r="R34" s="6">
        <f t="shared" si="18"/>
        <v>2.9881497716535621E-3</v>
      </c>
      <c r="S34" s="2"/>
      <c r="T34" s="7">
        <v>4184.3186336999997</v>
      </c>
      <c r="U34" s="2"/>
      <c r="V34" s="6">
        <f t="shared" si="19"/>
        <v>1.4898008161592627E-3</v>
      </c>
      <c r="W34" s="2"/>
      <c r="X34" s="7">
        <f t="shared" si="20"/>
        <v>-940.19863369999985</v>
      </c>
      <c r="Y34" s="2"/>
      <c r="Z34" s="6">
        <f t="shared" si="21"/>
        <v>-0.22469575479452089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7">
        <v>6297.64</v>
      </c>
      <c r="E35" s="2"/>
      <c r="F35" s="6">
        <f t="shared" si="14"/>
        <v>4.6779714449154464E-2</v>
      </c>
      <c r="G35" s="2"/>
      <c r="H35" s="7">
        <v>5989.2751107692384</v>
      </c>
      <c r="I35" s="2"/>
      <c r="J35" s="6">
        <f t="shared" si="15"/>
        <v>9.8486918248747203E-3</v>
      </c>
      <c r="K35" s="2"/>
      <c r="L35" s="7">
        <f t="shared" si="16"/>
        <v>308.36488923076195</v>
      </c>
      <c r="M35" s="2"/>
      <c r="N35" s="6">
        <f t="shared" si="17"/>
        <v>5.1486178799216457E-2</v>
      </c>
      <c r="O35" s="11"/>
      <c r="P35" s="7">
        <v>59476.530000000006</v>
      </c>
      <c r="Q35" s="2"/>
      <c r="R35" s="6">
        <f t="shared" si="18"/>
        <v>5.4783663840501047E-2</v>
      </c>
      <c r="S35" s="2"/>
      <c r="T35" s="7">
        <v>52406.157219230845</v>
      </c>
      <c r="U35" s="2"/>
      <c r="V35" s="6">
        <f t="shared" si="19"/>
        <v>1.865888872997773E-2</v>
      </c>
      <c r="W35" s="2"/>
      <c r="X35" s="7">
        <f t="shared" si="20"/>
        <v>7070.3727807691612</v>
      </c>
      <c r="Y35" s="2"/>
      <c r="Z35" s="6">
        <f t="shared" si="21"/>
        <v>0.13491492519078718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4"/>
        <v>0</v>
      </c>
      <c r="G36" s="2"/>
      <c r="H36" s="7">
        <v>0</v>
      </c>
      <c r="I36" s="2"/>
      <c r="J36" s="6">
        <f t="shared" si="15"/>
        <v>0</v>
      </c>
      <c r="K36" s="2"/>
      <c r="L36" s="7">
        <f t="shared" si="16"/>
        <v>0</v>
      </c>
      <c r="M36" s="2"/>
      <c r="N36" s="6">
        <f t="shared" si="17"/>
        <v>0</v>
      </c>
      <c r="O36" s="11"/>
      <c r="P36" s="7"/>
      <c r="Q36" s="2"/>
      <c r="R36" s="6">
        <f t="shared" si="18"/>
        <v>0</v>
      </c>
      <c r="S36" s="2"/>
      <c r="T36" s="7">
        <v>0</v>
      </c>
      <c r="U36" s="2"/>
      <c r="V36" s="6">
        <f t="shared" si="19"/>
        <v>0</v>
      </c>
      <c r="W36" s="2"/>
      <c r="X36" s="7">
        <f t="shared" si="20"/>
        <v>0</v>
      </c>
      <c r="Y36" s="2"/>
      <c r="Z36" s="6">
        <f t="shared" si="21"/>
        <v>0</v>
      </c>
    </row>
    <row r="37" spans="1:26" s="24" customFormat="1" hidden="1" outlineLevel="2" x14ac:dyDescent="0.25">
      <c r="A37" s="27"/>
      <c r="B37" s="11" t="str">
        <f>CONCATENATE("          ", "6117", " - ", "RETIREMENT STAFF HOURLY")</f>
        <v xml:space="preserve">          6117 - RETIREMENT STAFF HOURLY</v>
      </c>
      <c r="C37" s="11"/>
      <c r="D37" s="7">
        <v>1429.17</v>
      </c>
      <c r="E37" s="2"/>
      <c r="F37" s="6">
        <f t="shared" si="14"/>
        <v>1.0616066415244136E-2</v>
      </c>
      <c r="G37" s="2"/>
      <c r="H37" s="7"/>
      <c r="I37" s="2"/>
      <c r="J37" s="6">
        <f t="shared" si="15"/>
        <v>0</v>
      </c>
      <c r="K37" s="2"/>
      <c r="L37" s="7">
        <f t="shared" si="16"/>
        <v>1429.17</v>
      </c>
      <c r="M37" s="2"/>
      <c r="N37" s="6">
        <f t="shared" si="17"/>
        <v>0</v>
      </c>
      <c r="O37" s="11"/>
      <c r="P37" s="7">
        <v>11902.4</v>
      </c>
      <c r="Q37" s="2"/>
      <c r="R37" s="6">
        <f t="shared" si="18"/>
        <v>1.0963267031469045E-2</v>
      </c>
      <c r="S37" s="2"/>
      <c r="T37" s="7"/>
      <c r="U37" s="2"/>
      <c r="V37" s="6">
        <f t="shared" si="19"/>
        <v>0</v>
      </c>
      <c r="W37" s="2"/>
      <c r="X37" s="7">
        <f t="shared" si="20"/>
        <v>11902.4</v>
      </c>
      <c r="Y37" s="2"/>
      <c r="Z37" s="6">
        <f t="shared" si="21"/>
        <v>0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7">
        <v>8303.74</v>
      </c>
      <c r="E38" s="2"/>
      <c r="F38" s="6">
        <f t="shared" si="14"/>
        <v>6.1681294272143507E-2</v>
      </c>
      <c r="G38" s="2"/>
      <c r="H38" s="7">
        <v>8280.2399538461614</v>
      </c>
      <c r="I38" s="2"/>
      <c r="J38" s="6">
        <f t="shared" si="15"/>
        <v>1.3615926808039349E-2</v>
      </c>
      <c r="K38" s="2"/>
      <c r="L38" s="7">
        <f t="shared" si="16"/>
        <v>23.500046153838412</v>
      </c>
      <c r="M38" s="2"/>
      <c r="N38" s="6">
        <f t="shared" si="17"/>
        <v>2.8380875777546362E-3</v>
      </c>
      <c r="O38" s="11"/>
      <c r="P38" s="7">
        <v>73426.61</v>
      </c>
      <c r="Q38" s="2"/>
      <c r="R38" s="6">
        <f t="shared" si="18"/>
        <v>6.7633043137983545E-2</v>
      </c>
      <c r="S38" s="2"/>
      <c r="T38" s="7">
        <v>72339.829596153868</v>
      </c>
      <c r="U38" s="2"/>
      <c r="V38" s="6">
        <f t="shared" si="19"/>
        <v>2.5756149712211154E-2</v>
      </c>
      <c r="W38" s="2"/>
      <c r="X38" s="7">
        <f t="shared" si="20"/>
        <v>1086.7804038461327</v>
      </c>
      <c r="Y38" s="2"/>
      <c r="Z38" s="6">
        <f t="shared" si="21"/>
        <v>1.5023264637381923E-2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7">
        <v>5531.73</v>
      </c>
      <c r="E39" s="2"/>
      <c r="F39" s="6">
        <f t="shared" si="14"/>
        <v>4.1090432258722505E-2</v>
      </c>
      <c r="G39" s="2"/>
      <c r="H39" s="7">
        <v>6630.7723465384597</v>
      </c>
      <c r="I39" s="2"/>
      <c r="J39" s="6">
        <f t="shared" si="15"/>
        <v>1.0903562149705835E-2</v>
      </c>
      <c r="K39" s="2"/>
      <c r="L39" s="7">
        <f t="shared" si="16"/>
        <v>-1099.0423465384602</v>
      </c>
      <c r="M39" s="2"/>
      <c r="N39" s="6">
        <f t="shared" si="17"/>
        <v>-0.16574876788104573</v>
      </c>
      <c r="O39" s="11"/>
      <c r="P39" s="7">
        <v>47149.98</v>
      </c>
      <c r="Q39" s="2"/>
      <c r="R39" s="6">
        <f t="shared" si="18"/>
        <v>4.3429713441694523E-2</v>
      </c>
      <c r="S39" s="2"/>
      <c r="T39" s="7">
        <v>52222.904273461507</v>
      </c>
      <c r="U39" s="2"/>
      <c r="V39" s="6">
        <f t="shared" si="19"/>
        <v>1.8593642650013373E-2</v>
      </c>
      <c r="W39" s="2"/>
      <c r="X39" s="7">
        <f t="shared" si="20"/>
        <v>-5072.9242734615036</v>
      </c>
      <c r="Y39" s="2"/>
      <c r="Z39" s="6">
        <f t="shared" si="21"/>
        <v>-9.7139834408624573E-2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7">
        <v>2942.28</v>
      </c>
      <c r="E40" s="2"/>
      <c r="F40" s="6">
        <f t="shared" si="14"/>
        <v>2.1855650407050609E-2</v>
      </c>
      <c r="G40" s="2"/>
      <c r="H40" s="7">
        <v>4025</v>
      </c>
      <c r="I40" s="2"/>
      <c r="J40" s="6">
        <f t="shared" si="15"/>
        <v>6.6186615010959847E-3</v>
      </c>
      <c r="K40" s="2"/>
      <c r="L40" s="7">
        <f t="shared" si="16"/>
        <v>-1082.7199999999998</v>
      </c>
      <c r="M40" s="2"/>
      <c r="N40" s="6">
        <f t="shared" si="17"/>
        <v>-0.26899875776397508</v>
      </c>
      <c r="O40" s="11"/>
      <c r="P40" s="7">
        <v>22738.94</v>
      </c>
      <c r="Q40" s="2"/>
      <c r="R40" s="6">
        <f t="shared" si="18"/>
        <v>2.0944773426582262E-2</v>
      </c>
      <c r="S40" s="2"/>
      <c r="T40" s="7">
        <v>32200</v>
      </c>
      <c r="U40" s="2"/>
      <c r="V40" s="6">
        <f t="shared" si="19"/>
        <v>1.1464611201922067E-2</v>
      </c>
      <c r="W40" s="2"/>
      <c r="X40" s="7">
        <f t="shared" si="20"/>
        <v>-9461.0600000000013</v>
      </c>
      <c r="Y40" s="2"/>
      <c r="Z40" s="6">
        <f t="shared" si="21"/>
        <v>-0.2938217391304348</v>
      </c>
    </row>
    <row r="41" spans="1:26" s="28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122628.34999999999</v>
      </c>
      <c r="E41" s="1"/>
      <c r="F41" s="5">
        <f t="shared" ref="F41:F51" si="22">IF(D$12=0,0,D41/D$12)</f>
        <v>0.91089982856609297</v>
      </c>
      <c r="G41" s="1"/>
      <c r="H41" s="1">
        <f>SUM(OSRRefH22_1x_0)</f>
        <v>191641.42104576921</v>
      </c>
      <c r="I41" s="1"/>
      <c r="J41" s="5">
        <f t="shared" ref="J41:J51" si="23">IF(H$12=0,0,H41/H$12)</f>
        <v>0.31513284360023813</v>
      </c>
      <c r="K41" s="1"/>
      <c r="L41" s="1">
        <f t="shared" ref="L41:L51" si="24">+D41-H41</f>
        <v>-69013.071045769218</v>
      </c>
      <c r="M41" s="1"/>
      <c r="N41" s="5">
        <f t="shared" ref="N41:N51" si="25">IF(H41=0,0,L41/H41)</f>
        <v>-0.36011562985272905</v>
      </c>
      <c r="O41" s="14"/>
      <c r="P41" s="1">
        <f>SUM(OSRRefP22_1x_0)</f>
        <v>1078821.5399999998</v>
      </c>
      <c r="Q41" s="1"/>
      <c r="R41" s="5">
        <f t="shared" ref="R41:R51" si="26">IF(P$12=0,0,P41/P$12)</f>
        <v>0.99369947425062688</v>
      </c>
      <c r="S41" s="1"/>
      <c r="T41" s="1">
        <f>SUM(OSRRefT22_1x_0)</f>
        <v>1489047.1127842306</v>
      </c>
      <c r="U41" s="1"/>
      <c r="V41" s="5">
        <f t="shared" ref="V41:V51" si="27">IF(T$12=0,0,T41/T$12)</f>
        <v>0.53016603134831686</v>
      </c>
      <c r="W41" s="1"/>
      <c r="X41" s="1">
        <f t="shared" ref="X41:X51" si="28">+P41-T41</f>
        <v>-410225.57278423081</v>
      </c>
      <c r="Y41" s="1"/>
      <c r="Z41" s="5">
        <f t="shared" ref="Z41:Z51" si="29">IF(T41=0,0,X41/T41)</f>
        <v>-0.27549536160557619</v>
      </c>
    </row>
    <row r="42" spans="1:26" s="24" customFormat="1" hidden="1" outlineLevel="2" x14ac:dyDescent="0.25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>
        <v>19625.36</v>
      </c>
      <c r="E42" s="2"/>
      <c r="F42" s="6">
        <f t="shared" si="22"/>
        <v>0.14577980588948528</v>
      </c>
      <c r="G42" s="2"/>
      <c r="H42" s="7">
        <v>9962.3076923076896</v>
      </c>
      <c r="I42" s="2"/>
      <c r="J42" s="6">
        <f t="shared" si="23"/>
        <v>1.6381898729229637E-2</v>
      </c>
      <c r="K42" s="2"/>
      <c r="L42" s="7">
        <f t="shared" si="24"/>
        <v>9663.0523076923109</v>
      </c>
      <c r="M42" s="2"/>
      <c r="N42" s="6">
        <f t="shared" si="25"/>
        <v>0.96996123851440097</v>
      </c>
      <c r="O42" s="11"/>
      <c r="P42" s="7">
        <v>160352.26</v>
      </c>
      <c r="Q42" s="2"/>
      <c r="R42" s="6">
        <f t="shared" si="26"/>
        <v>0.14770001390304077</v>
      </c>
      <c r="S42" s="2"/>
      <c r="T42" s="7">
        <v>87170.192307692254</v>
      </c>
      <c r="U42" s="2"/>
      <c r="V42" s="6">
        <f t="shared" si="27"/>
        <v>3.1036408795169858E-2</v>
      </c>
      <c r="W42" s="2"/>
      <c r="X42" s="7">
        <f t="shared" si="28"/>
        <v>73182.067692307755</v>
      </c>
      <c r="Y42" s="2"/>
      <c r="Z42" s="6">
        <f t="shared" si="29"/>
        <v>0.83953087351225075</v>
      </c>
    </row>
    <row r="43" spans="1:26" s="24" customFormat="1" hidden="1" outlineLevel="2" x14ac:dyDescent="0.25">
      <c r="A43" s="27"/>
      <c r="B43" s="11" t="str">
        <f>CONCATENATE("          ", "6002", " - ", "STAFF SALARIES")</f>
        <v xml:space="preserve">          6002 - STAFF SALARIES</v>
      </c>
      <c r="C43" s="11"/>
      <c r="D43" s="7">
        <v>42770.74</v>
      </c>
      <c r="E43" s="2"/>
      <c r="F43" s="6">
        <f t="shared" si="22"/>
        <v>0.31770679238238902</v>
      </c>
      <c r="G43" s="2"/>
      <c r="H43" s="7">
        <v>52827.443538461535</v>
      </c>
      <c r="I43" s="2"/>
      <c r="J43" s="6">
        <f t="shared" si="23"/>
        <v>8.6868811614742164E-2</v>
      </c>
      <c r="K43" s="2"/>
      <c r="L43" s="7">
        <f t="shared" si="24"/>
        <v>-10056.703538461537</v>
      </c>
      <c r="M43" s="2"/>
      <c r="N43" s="6">
        <f t="shared" si="25"/>
        <v>-0.19036892313631751</v>
      </c>
      <c r="O43" s="11"/>
      <c r="P43" s="7">
        <v>352277.26999999996</v>
      </c>
      <c r="Q43" s="2"/>
      <c r="R43" s="6">
        <f t="shared" si="26"/>
        <v>0.32448159867983928</v>
      </c>
      <c r="S43" s="2"/>
      <c r="T43" s="7">
        <v>462240.13096153841</v>
      </c>
      <c r="U43" s="2"/>
      <c r="V43" s="6">
        <f t="shared" si="27"/>
        <v>0.16457774482607382</v>
      </c>
      <c r="W43" s="2"/>
      <c r="X43" s="7">
        <f t="shared" si="28"/>
        <v>-109962.86096153845</v>
      </c>
      <c r="Y43" s="2"/>
      <c r="Z43" s="6">
        <f t="shared" si="29"/>
        <v>-0.23789120328604293</v>
      </c>
    </row>
    <row r="44" spans="1:26" s="24" customFormat="1" hidden="1" outlineLevel="2" x14ac:dyDescent="0.25">
      <c r="A44" s="27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7"/>
      <c r="B45" s="11" t="str">
        <f>CONCATENATE("          ", "6004", " - ", "STAFF HOURLY")</f>
        <v xml:space="preserve">          6004 - STAFF HOURLY</v>
      </c>
      <c r="C45" s="11"/>
      <c r="D45" s="7">
        <v>39445.699999999997</v>
      </c>
      <c r="E45" s="2"/>
      <c r="F45" s="6">
        <f t="shared" si="22"/>
        <v>0.29300794936627245</v>
      </c>
      <c r="G45" s="2"/>
      <c r="H45" s="7">
        <v>74840.849919999993</v>
      </c>
      <c r="I45" s="2"/>
      <c r="J45" s="6">
        <f t="shared" si="23"/>
        <v>0.12306739181982769</v>
      </c>
      <c r="K45" s="2"/>
      <c r="L45" s="7">
        <f t="shared" si="24"/>
        <v>-35395.149919999996</v>
      </c>
      <c r="M45" s="2"/>
      <c r="N45" s="6">
        <f t="shared" si="25"/>
        <v>-0.47293890913632208</v>
      </c>
      <c r="O45" s="11"/>
      <c r="P45" s="7">
        <v>373828.47000000003</v>
      </c>
      <c r="Q45" s="2"/>
      <c r="R45" s="6">
        <f t="shared" si="26"/>
        <v>0.34433234814621549</v>
      </c>
      <c r="S45" s="2"/>
      <c r="T45" s="7">
        <v>626660.57679999992</v>
      </c>
      <c r="U45" s="2"/>
      <c r="V45" s="6">
        <f t="shared" si="27"/>
        <v>0.22311862945913735</v>
      </c>
      <c r="W45" s="2"/>
      <c r="X45" s="7">
        <f t="shared" si="28"/>
        <v>-252832.10679999989</v>
      </c>
      <c r="Y45" s="2"/>
      <c r="Z45" s="6">
        <f t="shared" si="29"/>
        <v>-0.40345941034151223</v>
      </c>
    </row>
    <row r="46" spans="1:26" s="24" customFormat="1" hidden="1" outlineLevel="2" x14ac:dyDescent="0.25">
      <c r="A46" s="27"/>
      <c r="B46" s="11" t="str">
        <f>CONCATENATE("          ", "6005", " - ", "TEMPORARY WAGES-HOURLY")</f>
        <v xml:space="preserve">          6005 - TEMPORARY WAGES-HOURLY</v>
      </c>
      <c r="C46" s="11"/>
      <c r="D46" s="7">
        <v>9662.36</v>
      </c>
      <c r="E46" s="2"/>
      <c r="F46" s="6">
        <f t="shared" si="22"/>
        <v>7.1773305826457551E-2</v>
      </c>
      <c r="G46" s="2"/>
      <c r="H46" s="7">
        <v>16552.364695</v>
      </c>
      <c r="I46" s="2"/>
      <c r="J46" s="6">
        <f t="shared" si="23"/>
        <v>2.7218509058111025E-2</v>
      </c>
      <c r="K46" s="2"/>
      <c r="L46" s="7">
        <f t="shared" si="24"/>
        <v>-6890.0046949999996</v>
      </c>
      <c r="M46" s="2"/>
      <c r="N46" s="6">
        <f t="shared" si="25"/>
        <v>-0.41625500778636632</v>
      </c>
      <c r="O46" s="11"/>
      <c r="P46" s="7">
        <v>83142.75</v>
      </c>
      <c r="Q46" s="2"/>
      <c r="R46" s="6">
        <f t="shared" si="26"/>
        <v>7.6582552256744263E-2</v>
      </c>
      <c r="S46" s="2"/>
      <c r="T46" s="7">
        <v>80921.52201500001</v>
      </c>
      <c r="U46" s="2"/>
      <c r="V46" s="6">
        <f t="shared" si="27"/>
        <v>2.8811608315830815E-2</v>
      </c>
      <c r="W46" s="2"/>
      <c r="X46" s="7">
        <f t="shared" si="28"/>
        <v>2221.2279849999904</v>
      </c>
      <c r="Y46" s="2"/>
      <c r="Z46" s="6">
        <f t="shared" si="29"/>
        <v>2.7449162221494707E-2</v>
      </c>
    </row>
    <row r="47" spans="1:26" s="24" customFormat="1" hidden="1" outlineLevel="2" x14ac:dyDescent="0.25">
      <c r="A47" s="27"/>
      <c r="B47" s="11" t="str">
        <f>CONCATENATE("          ", "6006", " - ", "TEMPORARY PART TIME")</f>
        <v xml:space="preserve">          6006 - TEMPORARY PART TIME</v>
      </c>
      <c r="C47" s="11"/>
      <c r="D47" s="7">
        <v>609</v>
      </c>
      <c r="E47" s="2"/>
      <c r="F47" s="6">
        <f t="shared" si="22"/>
        <v>4.5237336684115104E-3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609</v>
      </c>
      <c r="M47" s="2"/>
      <c r="N47" s="6">
        <f t="shared" si="25"/>
        <v>0</v>
      </c>
      <c r="O47" s="11"/>
      <c r="P47" s="7">
        <v>609</v>
      </c>
      <c r="Q47" s="2"/>
      <c r="R47" s="6">
        <f t="shared" si="26"/>
        <v>5.6094818038081805E-4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609</v>
      </c>
      <c r="Y47" s="2"/>
      <c r="Z47" s="6">
        <f t="shared" si="29"/>
        <v>0</v>
      </c>
    </row>
    <row r="48" spans="1:26" s="24" customFormat="1" hidden="1" outlineLevel="2" x14ac:dyDescent="0.25">
      <c r="A48" s="27"/>
      <c r="B48" s="11" t="str">
        <f>CONCATENATE("          ", "6007", " - ", "STUDENT HOURLY")</f>
        <v xml:space="preserve">          6007 - STUDENT HOURLY</v>
      </c>
      <c r="C48" s="11"/>
      <c r="D48" s="7">
        <v>10515.19</v>
      </c>
      <c r="E48" s="2"/>
      <c r="F48" s="6">
        <f t="shared" si="22"/>
        <v>7.8108241433077236E-2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10515.19</v>
      </c>
      <c r="M48" s="2"/>
      <c r="N48" s="6">
        <f t="shared" si="25"/>
        <v>0</v>
      </c>
      <c r="O48" s="11"/>
      <c r="P48" s="7">
        <v>97980.909999999989</v>
      </c>
      <c r="Q48" s="2"/>
      <c r="R48" s="6">
        <f t="shared" si="26"/>
        <v>9.0249939534575843E-2</v>
      </c>
      <c r="S48" s="2"/>
      <c r="T48" s="7">
        <v>16306.670000000002</v>
      </c>
      <c r="U48" s="2"/>
      <c r="V48" s="6">
        <f t="shared" si="27"/>
        <v>5.8058891785107616E-3</v>
      </c>
      <c r="W48" s="2"/>
      <c r="X48" s="7">
        <f t="shared" si="28"/>
        <v>81674.239999999991</v>
      </c>
      <c r="Y48" s="2"/>
      <c r="Z48" s="6">
        <f t="shared" si="29"/>
        <v>5.0086400227636902</v>
      </c>
    </row>
    <row r="49" spans="1:26" s="24" customFormat="1" hidden="1" outlineLevel="2" x14ac:dyDescent="0.25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37458.455199999997</v>
      </c>
      <c r="I49" s="2"/>
      <c r="J49" s="6">
        <f t="shared" si="23"/>
        <v>6.159623237832762E-2</v>
      </c>
      <c r="K49" s="2"/>
      <c r="L49" s="7">
        <f t="shared" si="24"/>
        <v>-37458.455199999997</v>
      </c>
      <c r="M49" s="2"/>
      <c r="N49" s="6">
        <f t="shared" si="25"/>
        <v>-1</v>
      </c>
      <c r="O49" s="11"/>
      <c r="P49" s="7">
        <v>10630.88</v>
      </c>
      <c r="Q49" s="2"/>
      <c r="R49" s="6">
        <f t="shared" si="26"/>
        <v>9.7920735498305909E-3</v>
      </c>
      <c r="S49" s="2"/>
      <c r="T49" s="7">
        <v>215748.02069999999</v>
      </c>
      <c r="U49" s="2"/>
      <c r="V49" s="6">
        <f t="shared" si="27"/>
        <v>7.6815750773594219E-2</v>
      </c>
      <c r="W49" s="2"/>
      <c r="X49" s="7">
        <f t="shared" si="28"/>
        <v>-205117.14069999999</v>
      </c>
      <c r="Y49" s="2"/>
      <c r="Z49" s="6">
        <f t="shared" si="29"/>
        <v>-0.95072548074597463</v>
      </c>
    </row>
    <row r="50" spans="1:26" s="24" customFormat="1" hidden="1" outlineLevel="2" x14ac:dyDescent="0.25">
      <c r="A50" s="27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25">
      <c r="A51" s="27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8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78.48</v>
      </c>
      <c r="E52" s="1"/>
      <c r="F52" s="5">
        <f t="shared" ref="F52:F61" si="30">IF(D$12=0,0,D52/D$12)</f>
        <v>5.8295996436278383E-4</v>
      </c>
      <c r="G52" s="1"/>
      <c r="H52" s="1">
        <f>SUM(OSRRefH22_2x_0)</f>
        <v>2245</v>
      </c>
      <c r="I52" s="1"/>
      <c r="J52" s="5">
        <f t="shared" ref="J52:J61" si="31">IF(H$12=0,0,H52/H$12)</f>
        <v>3.6916509490585057E-3</v>
      </c>
      <c r="K52" s="1"/>
      <c r="L52" s="1">
        <f t="shared" ref="L52:L61" si="32">+D52-H52</f>
        <v>-2166.52</v>
      </c>
      <c r="M52" s="1"/>
      <c r="N52" s="5">
        <f t="shared" ref="N52:N61" si="33">IF(H52=0,0,L52/H52)</f>
        <v>-0.96504231625835191</v>
      </c>
      <c r="O52" s="14"/>
      <c r="P52" s="1">
        <f>SUM(OSRRefP22_2x_0)</f>
        <v>1663</v>
      </c>
      <c r="Q52" s="1"/>
      <c r="R52" s="5">
        <f t="shared" ref="R52:R61" si="34">IF(P$12=0,0,P52/P$12)</f>
        <v>1.5317846042254522E-3</v>
      </c>
      <c r="S52" s="1"/>
      <c r="T52" s="1">
        <f>SUM(OSRRefT22_2x_0)</f>
        <v>14711</v>
      </c>
      <c r="U52" s="1"/>
      <c r="V52" s="5">
        <f t="shared" ref="V52:V61" si="35">IF(T$12=0,0,T52/T$12)</f>
        <v>5.2377607264433397E-3</v>
      </c>
      <c r="W52" s="1"/>
      <c r="X52" s="1">
        <f t="shared" ref="X52:X61" si="36">+P52-T52</f>
        <v>-13048</v>
      </c>
      <c r="Y52" s="1"/>
      <c r="Z52" s="5">
        <f t="shared" ref="Z52:Z61" si="37">IF(T52=0,0,X52/T52)</f>
        <v>-0.88695533954183947</v>
      </c>
    </row>
    <row r="53" spans="1:26" s="24" customFormat="1" hidden="1" outlineLevel="2" x14ac:dyDescent="0.25">
      <c r="A53" s="27"/>
      <c r="B53" s="11" t="str">
        <f>CONCATENATE("          ", "6362", " - ", "ADVERTISING EXPENSE")</f>
        <v xml:space="preserve">          6362 - ADVERTISING EXPENSE</v>
      </c>
      <c r="C53" s="11"/>
      <c r="D53" s="7">
        <v>78.48</v>
      </c>
      <c r="E53" s="2"/>
      <c r="F53" s="6">
        <f t="shared" si="30"/>
        <v>5.8295996436278383E-4</v>
      </c>
      <c r="G53" s="2"/>
      <c r="H53" s="7">
        <v>2245</v>
      </c>
      <c r="I53" s="2"/>
      <c r="J53" s="6">
        <f t="shared" si="31"/>
        <v>3.6916509490585057E-3</v>
      </c>
      <c r="K53" s="2"/>
      <c r="L53" s="7">
        <f t="shared" si="32"/>
        <v>-2166.52</v>
      </c>
      <c r="M53" s="2"/>
      <c r="N53" s="6">
        <f t="shared" si="33"/>
        <v>-0.96504231625835191</v>
      </c>
      <c r="O53" s="11"/>
      <c r="P53" s="7">
        <v>1663</v>
      </c>
      <c r="Q53" s="2"/>
      <c r="R53" s="6">
        <f t="shared" si="34"/>
        <v>1.5317846042254522E-3</v>
      </c>
      <c r="S53" s="2"/>
      <c r="T53" s="7">
        <v>14711</v>
      </c>
      <c r="U53" s="2"/>
      <c r="V53" s="6">
        <f t="shared" si="35"/>
        <v>5.2377607264433397E-3</v>
      </c>
      <c r="W53" s="2"/>
      <c r="X53" s="7">
        <f t="shared" si="36"/>
        <v>-13048</v>
      </c>
      <c r="Y53" s="2"/>
      <c r="Z53" s="6">
        <f t="shared" si="37"/>
        <v>-0.88695533954183947</v>
      </c>
    </row>
    <row r="54" spans="1:26" s="28" customFormat="1" outlineLevel="1" collapsed="1" x14ac:dyDescent="0.25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-16.2</v>
      </c>
      <c r="E54" s="1"/>
      <c r="F54" s="5">
        <f t="shared" si="30"/>
        <v>-1.2033577246020766E-4</v>
      </c>
      <c r="G54" s="1"/>
      <c r="H54" s="1">
        <f>SUM(OSRRefH22_3x_0)</f>
        <v>36</v>
      </c>
      <c r="I54" s="1"/>
      <c r="J54" s="5">
        <f t="shared" si="31"/>
        <v>5.9197966220982722E-5</v>
      </c>
      <c r="K54" s="1"/>
      <c r="L54" s="1">
        <f t="shared" si="32"/>
        <v>-52.2</v>
      </c>
      <c r="M54" s="1"/>
      <c r="N54" s="5">
        <f t="shared" si="33"/>
        <v>-1.4500000000000002</v>
      </c>
      <c r="O54" s="14"/>
      <c r="P54" s="1">
        <f>SUM(OSRRefP22_3x_0)</f>
        <v>62.33</v>
      </c>
      <c r="Q54" s="1"/>
      <c r="R54" s="5">
        <f t="shared" si="34"/>
        <v>5.7411987000223952E-5</v>
      </c>
      <c r="S54" s="1"/>
      <c r="T54" s="1">
        <f>SUM(OSRRefT22_3x_0)</f>
        <v>302</v>
      </c>
      <c r="U54" s="1"/>
      <c r="V54" s="5">
        <f t="shared" si="35"/>
        <v>1.0752523549628771E-4</v>
      </c>
      <c r="W54" s="1"/>
      <c r="X54" s="1">
        <f t="shared" si="36"/>
        <v>-239.67000000000002</v>
      </c>
      <c r="Y54" s="1"/>
      <c r="Z54" s="5">
        <f t="shared" si="37"/>
        <v>-0.79360927152317884</v>
      </c>
    </row>
    <row r="55" spans="1:26" s="24" customFormat="1" hidden="1" outlineLevel="2" x14ac:dyDescent="0.25">
      <c r="A55" s="27"/>
      <c r="B55" s="11" t="str">
        <f>CONCATENATE("          ", "6272", " - ", "CASH (OVER/SHORT)")</f>
        <v xml:space="preserve">          6272 - CASH (OVER/SHORT)</v>
      </c>
      <c r="C55" s="11"/>
      <c r="D55" s="7">
        <v>-16.2</v>
      </c>
      <c r="E55" s="2"/>
      <c r="F55" s="6">
        <f t="shared" si="30"/>
        <v>-1.2033577246020766E-4</v>
      </c>
      <c r="G55" s="2"/>
      <c r="H55" s="7">
        <v>36</v>
      </c>
      <c r="I55" s="2"/>
      <c r="J55" s="6">
        <f t="shared" si="31"/>
        <v>5.9197966220982722E-5</v>
      </c>
      <c r="K55" s="2"/>
      <c r="L55" s="7">
        <f t="shared" si="32"/>
        <v>-52.2</v>
      </c>
      <c r="M55" s="2"/>
      <c r="N55" s="6">
        <f t="shared" si="33"/>
        <v>-1.4500000000000002</v>
      </c>
      <c r="O55" s="11"/>
      <c r="P55" s="7">
        <v>62.33</v>
      </c>
      <c r="Q55" s="2"/>
      <c r="R55" s="6">
        <f t="shared" si="34"/>
        <v>5.7411987000223952E-5</v>
      </c>
      <c r="S55" s="2"/>
      <c r="T55" s="7">
        <v>302</v>
      </c>
      <c r="U55" s="2"/>
      <c r="V55" s="6">
        <f t="shared" si="35"/>
        <v>1.0752523549628771E-4</v>
      </c>
      <c r="W55" s="2"/>
      <c r="X55" s="7">
        <f t="shared" si="36"/>
        <v>-239.67000000000002</v>
      </c>
      <c r="Y55" s="2"/>
      <c r="Z55" s="6">
        <f t="shared" si="37"/>
        <v>-0.79360927152317884</v>
      </c>
    </row>
    <row r="56" spans="1:26" s="28" customFormat="1" outlineLevel="1" collapsed="1" x14ac:dyDescent="0.25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859.46</v>
      </c>
      <c r="E56" s="1"/>
      <c r="F56" s="5">
        <f t="shared" si="30"/>
        <v>6.3841841357191419E-3</v>
      </c>
      <c r="G56" s="1"/>
      <c r="H56" s="1">
        <f>SUM(OSRRefH22_4x_0)</f>
        <v>3490</v>
      </c>
      <c r="I56" s="1"/>
      <c r="J56" s="5">
        <f t="shared" si="31"/>
        <v>5.7389139475341579E-3</v>
      </c>
      <c r="K56" s="1"/>
      <c r="L56" s="1">
        <f t="shared" si="32"/>
        <v>-2630.54</v>
      </c>
      <c r="M56" s="1"/>
      <c r="N56" s="5">
        <f t="shared" si="33"/>
        <v>-0.75373638968481371</v>
      </c>
      <c r="O56" s="14"/>
      <c r="P56" s="1">
        <f>SUM(OSRRefP22_4x_0)</f>
        <v>4897.3100000000004</v>
      </c>
      <c r="Q56" s="1"/>
      <c r="R56" s="5">
        <f t="shared" si="34"/>
        <v>4.5108984125792843E-3</v>
      </c>
      <c r="S56" s="1"/>
      <c r="T56" s="1">
        <f>SUM(OSRRefT22_4x_0)</f>
        <v>27313</v>
      </c>
      <c r="U56" s="1"/>
      <c r="V56" s="5">
        <f t="shared" si="35"/>
        <v>9.7246250235433988E-3</v>
      </c>
      <c r="W56" s="1"/>
      <c r="X56" s="1">
        <f t="shared" si="36"/>
        <v>-22415.69</v>
      </c>
      <c r="Y56" s="1"/>
      <c r="Z56" s="5">
        <f t="shared" si="37"/>
        <v>-0.82069673781715657</v>
      </c>
    </row>
    <row r="57" spans="1:26" s="24" customFormat="1" hidden="1" outlineLevel="2" x14ac:dyDescent="0.25">
      <c r="A57" s="27"/>
      <c r="B57" s="11" t="str">
        <f>CONCATENATE("          ", "6381", " - ", "BANK/CREDIT CARD FEES")</f>
        <v xml:space="preserve">          6381 - BANK/CREDIT CARD FEES</v>
      </c>
      <c r="C57" s="11"/>
      <c r="D57" s="7">
        <v>859.46</v>
      </c>
      <c r="E57" s="2"/>
      <c r="F57" s="6">
        <f t="shared" si="30"/>
        <v>6.3841841357191419E-3</v>
      </c>
      <c r="G57" s="2"/>
      <c r="H57" s="7">
        <v>3490</v>
      </c>
      <c r="I57" s="2"/>
      <c r="J57" s="6">
        <f t="shared" si="31"/>
        <v>5.7389139475341579E-3</v>
      </c>
      <c r="K57" s="2"/>
      <c r="L57" s="7">
        <f t="shared" si="32"/>
        <v>-2630.54</v>
      </c>
      <c r="M57" s="2"/>
      <c r="N57" s="6">
        <f t="shared" si="33"/>
        <v>-0.75373638968481371</v>
      </c>
      <c r="O57" s="11"/>
      <c r="P57" s="7">
        <v>4897.3100000000004</v>
      </c>
      <c r="Q57" s="2"/>
      <c r="R57" s="6">
        <f t="shared" si="34"/>
        <v>4.5108984125792843E-3</v>
      </c>
      <c r="S57" s="2"/>
      <c r="T57" s="7">
        <v>27313</v>
      </c>
      <c r="U57" s="2"/>
      <c r="V57" s="6">
        <f t="shared" si="35"/>
        <v>9.7246250235433988E-3</v>
      </c>
      <c r="W57" s="2"/>
      <c r="X57" s="7">
        <f t="shared" si="36"/>
        <v>-22415.69</v>
      </c>
      <c r="Y57" s="2"/>
      <c r="Z57" s="6">
        <f t="shared" si="37"/>
        <v>-0.82069673781715657</v>
      </c>
    </row>
    <row r="58" spans="1:26" s="28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37479.259999999995</v>
      </c>
      <c r="E58" s="1"/>
      <c r="F58" s="5">
        <f t="shared" si="30"/>
        <v>0.27840096934178782</v>
      </c>
      <c r="G58" s="1"/>
      <c r="H58" s="1">
        <f>SUM(OSRRefH22_5x_0)</f>
        <v>37930</v>
      </c>
      <c r="I58" s="1"/>
      <c r="J58" s="5">
        <f t="shared" si="31"/>
        <v>6.2371634965607624E-2</v>
      </c>
      <c r="K58" s="1"/>
      <c r="L58" s="1">
        <f t="shared" si="32"/>
        <v>-450.74000000000524</v>
      </c>
      <c r="M58" s="1"/>
      <c r="N58" s="5">
        <f t="shared" si="33"/>
        <v>-1.188346954916966E-2</v>
      </c>
      <c r="O58" s="14"/>
      <c r="P58" s="1">
        <f>SUM(OSRRefP22_5x_0)</f>
        <v>302129.15999999997</v>
      </c>
      <c r="Q58" s="1"/>
      <c r="R58" s="5">
        <f t="shared" si="34"/>
        <v>0.27829031616089495</v>
      </c>
      <c r="S58" s="1"/>
      <c r="T58" s="1">
        <f>SUM(OSRRefT22_5x_0)</f>
        <v>306044</v>
      </c>
      <c r="U58" s="1"/>
      <c r="V58" s="5">
        <f t="shared" si="35"/>
        <v>0.10896507672922476</v>
      </c>
      <c r="W58" s="1"/>
      <c r="X58" s="1">
        <f t="shared" si="36"/>
        <v>-3914.8400000000256</v>
      </c>
      <c r="Y58" s="1"/>
      <c r="Z58" s="5">
        <f t="shared" si="37"/>
        <v>-1.2791755433859268E-2</v>
      </c>
    </row>
    <row r="59" spans="1:26" s="24" customFormat="1" hidden="1" outlineLevel="2" x14ac:dyDescent="0.25">
      <c r="A59" s="27"/>
      <c r="B59" s="11" t="str">
        <f>CONCATENATE("          ", "6321", " - ", "BUILDING DEPRECIATION")</f>
        <v xml:space="preserve">          6321 - BUILDING DEPRECIATION</v>
      </c>
      <c r="C59" s="11"/>
      <c r="D59" s="7">
        <v>23583.489999999998</v>
      </c>
      <c r="E59" s="2"/>
      <c r="F59" s="6">
        <f t="shared" si="30"/>
        <v>0.17518132632454214</v>
      </c>
      <c r="G59" s="2"/>
      <c r="H59" s="7"/>
      <c r="I59" s="2"/>
      <c r="J59" s="6">
        <f t="shared" si="31"/>
        <v>0</v>
      </c>
      <c r="K59" s="2"/>
      <c r="L59" s="7">
        <f t="shared" si="32"/>
        <v>23583.489999999998</v>
      </c>
      <c r="M59" s="2"/>
      <c r="N59" s="6">
        <f t="shared" si="33"/>
        <v>0</v>
      </c>
      <c r="O59" s="11"/>
      <c r="P59" s="7">
        <v>189452.11</v>
      </c>
      <c r="Q59" s="2"/>
      <c r="R59" s="6">
        <f t="shared" si="34"/>
        <v>0.17450380356946893</v>
      </c>
      <c r="S59" s="2"/>
      <c r="T59" s="7"/>
      <c r="U59" s="2"/>
      <c r="V59" s="6">
        <f t="shared" si="35"/>
        <v>0</v>
      </c>
      <c r="W59" s="2"/>
      <c r="X59" s="7">
        <f t="shared" si="36"/>
        <v>189452.11</v>
      </c>
      <c r="Y59" s="2"/>
      <c r="Z59" s="6">
        <f t="shared" si="37"/>
        <v>0</v>
      </c>
    </row>
    <row r="60" spans="1:26" s="24" customFormat="1" hidden="1" outlineLevel="2" x14ac:dyDescent="0.25">
      <c r="A60" s="27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13895.77</v>
      </c>
      <c r="E60" s="2"/>
      <c r="F60" s="6">
        <f t="shared" si="30"/>
        <v>0.10321964301724568</v>
      </c>
      <c r="G60" s="2"/>
      <c r="H60" s="7">
        <v>37380</v>
      </c>
      <c r="I60" s="2"/>
      <c r="J60" s="6">
        <f t="shared" si="31"/>
        <v>6.1467221592787058E-2</v>
      </c>
      <c r="K60" s="2"/>
      <c r="L60" s="7">
        <f t="shared" si="32"/>
        <v>-23484.23</v>
      </c>
      <c r="M60" s="2"/>
      <c r="N60" s="6">
        <f t="shared" si="33"/>
        <v>-0.62825655430711613</v>
      </c>
      <c r="O60" s="11"/>
      <c r="P60" s="7">
        <v>112677.05</v>
      </c>
      <c r="Q60" s="2"/>
      <c r="R60" s="6">
        <f t="shared" si="34"/>
        <v>0.10378651259142603</v>
      </c>
      <c r="S60" s="2"/>
      <c r="T60" s="7">
        <v>301644</v>
      </c>
      <c r="U60" s="2"/>
      <c r="V60" s="6">
        <f t="shared" si="35"/>
        <v>0.1073984838941795</v>
      </c>
      <c r="W60" s="2"/>
      <c r="X60" s="7">
        <f t="shared" si="36"/>
        <v>-188966.95</v>
      </c>
      <c r="Y60" s="2"/>
      <c r="Z60" s="6">
        <f t="shared" si="37"/>
        <v>-0.62645684979644878</v>
      </c>
    </row>
    <row r="61" spans="1:26" s="24" customFormat="1" hidden="1" outlineLevel="2" x14ac:dyDescent="0.25">
      <c r="A61" s="27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9.044133728205693E-4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4400</v>
      </c>
      <c r="U61" s="2"/>
      <c r="V61" s="6">
        <f t="shared" si="35"/>
        <v>1.5665928350452514E-3</v>
      </c>
      <c r="W61" s="2"/>
      <c r="X61" s="7">
        <f t="shared" si="36"/>
        <v>-4400</v>
      </c>
      <c r="Y61" s="2"/>
      <c r="Z61" s="6">
        <f t="shared" si="37"/>
        <v>-1</v>
      </c>
    </row>
    <row r="62" spans="1:26" s="28" customFormat="1" outlineLevel="1" collapsed="1" x14ac:dyDescent="0.25">
      <c r="A62" s="29"/>
      <c r="B62" s="14" t="str">
        <f>CONCATENATE("     ","Donations                                         ")</f>
        <v xml:space="preserve">     Donations                                         </v>
      </c>
      <c r="C62" s="14"/>
      <c r="D62" s="1">
        <f>SUM(OSRRefD22_6x_0)</f>
        <v>5361.28</v>
      </c>
      <c r="E62" s="1"/>
      <c r="F62" s="5">
        <f t="shared" ref="F62:F84" si="38">IF(D$12=0,0,D62/D$12)</f>
        <v>3.9824306800954452E-2</v>
      </c>
      <c r="G62" s="1"/>
      <c r="H62" s="1">
        <f>SUM(OSRRefH22_6x_0)</f>
        <v>13773</v>
      </c>
      <c r="I62" s="1"/>
      <c r="J62" s="5">
        <f t="shared" ref="J62:J84" si="39">IF(H$12=0,0,H62/H$12)</f>
        <v>2.2648155243377637E-2</v>
      </c>
      <c r="K62" s="1"/>
      <c r="L62" s="1">
        <f t="shared" ref="L62:L84" si="40">+D62-H62</f>
        <v>-8411.7200000000012</v>
      </c>
      <c r="M62" s="1"/>
      <c r="N62" s="5">
        <f t="shared" ref="N62:N84" si="41">IF(H62=0,0,L62/H62)</f>
        <v>-0.6107398533362377</v>
      </c>
      <c r="O62" s="14"/>
      <c r="P62" s="1">
        <f>SUM(OSRRefP22_6x_0)</f>
        <v>43642.43</v>
      </c>
      <c r="Q62" s="1"/>
      <c r="R62" s="5">
        <f t="shared" ref="R62:R84" si="42">IF(P$12=0,0,P62/P$12)</f>
        <v>4.0198919040882145E-2</v>
      </c>
      <c r="S62" s="1"/>
      <c r="T62" s="1">
        <f>SUM(OSRRefT22_6x_0)</f>
        <v>92411</v>
      </c>
      <c r="U62" s="1"/>
      <c r="V62" s="5">
        <f t="shared" ref="V62:V84" si="43">IF(T$12=0,0,T62/T$12)</f>
        <v>3.2902366018037893E-2</v>
      </c>
      <c r="W62" s="1"/>
      <c r="X62" s="1">
        <f t="shared" ref="X62:X84" si="44">+P62-T62</f>
        <v>-48768.57</v>
      </c>
      <c r="Y62" s="1"/>
      <c r="Z62" s="5">
        <f t="shared" ref="Z62:Z84" si="45">IF(T62=0,0,X62/T62)</f>
        <v>-0.52773555096254776</v>
      </c>
    </row>
    <row r="63" spans="1:26" s="24" customFormat="1" hidden="1" outlineLevel="2" x14ac:dyDescent="0.25">
      <c r="A63" s="27"/>
      <c r="B63" s="11" t="str">
        <f>CONCATENATE("          ", "6399", " - ", "DONATION-ON CAMPUS")</f>
        <v xml:space="preserve">          6399 - DONATION-ON CAMPUS</v>
      </c>
      <c r="C63" s="11"/>
      <c r="D63" s="7">
        <v>5361.28</v>
      </c>
      <c r="E63" s="2"/>
      <c r="F63" s="6">
        <f t="shared" si="38"/>
        <v>3.9824306800954452E-2</v>
      </c>
      <c r="G63" s="2"/>
      <c r="H63" s="7">
        <v>13773</v>
      </c>
      <c r="I63" s="2"/>
      <c r="J63" s="6">
        <f t="shared" si="39"/>
        <v>2.2648155243377637E-2</v>
      </c>
      <c r="K63" s="2"/>
      <c r="L63" s="7">
        <f t="shared" si="40"/>
        <v>-8411.7200000000012</v>
      </c>
      <c r="M63" s="2"/>
      <c r="N63" s="6">
        <f t="shared" si="41"/>
        <v>-0.6107398533362377</v>
      </c>
      <c r="O63" s="11"/>
      <c r="P63" s="7">
        <v>43642.43</v>
      </c>
      <c r="Q63" s="2"/>
      <c r="R63" s="6">
        <f t="shared" si="42"/>
        <v>4.0198919040882145E-2</v>
      </c>
      <c r="S63" s="2"/>
      <c r="T63" s="7">
        <v>92411</v>
      </c>
      <c r="U63" s="2"/>
      <c r="V63" s="6">
        <f t="shared" si="43"/>
        <v>3.2902366018037893E-2</v>
      </c>
      <c r="W63" s="2"/>
      <c r="X63" s="7">
        <f t="shared" si="44"/>
        <v>-48768.57</v>
      </c>
      <c r="Y63" s="2"/>
      <c r="Z63" s="6">
        <f t="shared" si="45"/>
        <v>-0.52773555096254776</v>
      </c>
    </row>
    <row r="64" spans="1:26" s="28" customFormat="1" outlineLevel="1" collapsed="1" x14ac:dyDescent="0.25">
      <c r="A64" s="29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0</v>
      </c>
      <c r="E64" s="1"/>
      <c r="F64" s="5">
        <f t="shared" si="38"/>
        <v>0</v>
      </c>
      <c r="G64" s="1"/>
      <c r="H64" s="1">
        <f>SUM(OSRRefH22_7x_0)</f>
        <v>300</v>
      </c>
      <c r="I64" s="1"/>
      <c r="J64" s="5">
        <f t="shared" si="39"/>
        <v>4.9331638517485603E-4</v>
      </c>
      <c r="K64" s="1"/>
      <c r="L64" s="1">
        <f t="shared" si="40"/>
        <v>-300</v>
      </c>
      <c r="M64" s="1"/>
      <c r="N64" s="5">
        <f t="shared" si="41"/>
        <v>-1</v>
      </c>
      <c r="O64" s="14"/>
      <c r="P64" s="1">
        <f>SUM(OSRRefP22_7x_0)</f>
        <v>10</v>
      </c>
      <c r="Q64" s="1"/>
      <c r="R64" s="5">
        <f t="shared" si="42"/>
        <v>9.2109717632318233E-6</v>
      </c>
      <c r="S64" s="1"/>
      <c r="T64" s="1">
        <f>SUM(OSRRefT22_7x_0)</f>
        <v>2300</v>
      </c>
      <c r="U64" s="1"/>
      <c r="V64" s="5">
        <f t="shared" si="43"/>
        <v>8.1890080013729053E-4</v>
      </c>
      <c r="W64" s="1"/>
      <c r="X64" s="1">
        <f t="shared" si="44"/>
        <v>-2290</v>
      </c>
      <c r="Y64" s="1"/>
      <c r="Z64" s="5">
        <f t="shared" si="45"/>
        <v>-0.9956521739130435</v>
      </c>
    </row>
    <row r="65" spans="1:26" s="24" customFormat="1" hidden="1" outlineLevel="2" x14ac:dyDescent="0.25">
      <c r="A65" s="27"/>
      <c r="B65" s="11" t="str">
        <f>CONCATENATE("          ", "6277", " - ", "EMPLOYEE APPRECIATION")</f>
        <v xml:space="preserve">          6277 - EMPLOYEE APPRECIATION</v>
      </c>
      <c r="C65" s="11"/>
      <c r="D65" s="7"/>
      <c r="E65" s="2"/>
      <c r="F65" s="6">
        <f t="shared" si="38"/>
        <v>0</v>
      </c>
      <c r="G65" s="2"/>
      <c r="H65" s="7">
        <v>300</v>
      </c>
      <c r="I65" s="2"/>
      <c r="J65" s="6">
        <f t="shared" si="39"/>
        <v>4.9331638517485603E-4</v>
      </c>
      <c r="K65" s="2"/>
      <c r="L65" s="7">
        <f t="shared" si="40"/>
        <v>-300</v>
      </c>
      <c r="M65" s="2"/>
      <c r="N65" s="6">
        <f t="shared" si="41"/>
        <v>-1</v>
      </c>
      <c r="O65" s="11"/>
      <c r="P65" s="7">
        <v>10</v>
      </c>
      <c r="Q65" s="2"/>
      <c r="R65" s="6">
        <f t="shared" si="42"/>
        <v>9.2109717632318233E-6</v>
      </c>
      <c r="S65" s="2"/>
      <c r="T65" s="7">
        <v>2300</v>
      </c>
      <c r="U65" s="2"/>
      <c r="V65" s="6">
        <f t="shared" si="43"/>
        <v>8.1890080013729053E-4</v>
      </c>
      <c r="W65" s="2"/>
      <c r="X65" s="7">
        <f t="shared" si="44"/>
        <v>-2290</v>
      </c>
      <c r="Y65" s="2"/>
      <c r="Z65" s="6">
        <f t="shared" si="45"/>
        <v>-0.9956521739130435</v>
      </c>
    </row>
    <row r="66" spans="1:26" s="28" customFormat="1" outlineLevel="1" collapsed="1" x14ac:dyDescent="0.25">
      <c r="A66" s="29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812.09</v>
      </c>
      <c r="E66" s="1"/>
      <c r="F66" s="5">
        <f t="shared" si="38"/>
        <v>6.0323134232845715E-3</v>
      </c>
      <c r="G66" s="1"/>
      <c r="H66" s="1">
        <f>SUM(OSRRefH22_8x_0)</f>
        <v>1001.333333333333</v>
      </c>
      <c r="I66" s="1"/>
      <c r="J66" s="5">
        <f t="shared" si="39"/>
        <v>1.6465804678502966E-3</v>
      </c>
      <c r="K66" s="1"/>
      <c r="L66" s="1">
        <f t="shared" si="40"/>
        <v>-189.243333333333</v>
      </c>
      <c r="M66" s="1"/>
      <c r="N66" s="5">
        <f t="shared" si="41"/>
        <v>-0.18899134487350172</v>
      </c>
      <c r="O66" s="14"/>
      <c r="P66" s="1">
        <f>SUM(OSRRefP22_8x_0)</f>
        <v>8557.99</v>
      </c>
      <c r="Q66" s="1"/>
      <c r="R66" s="5">
        <f t="shared" si="42"/>
        <v>7.8827404240020306E-3</v>
      </c>
      <c r="S66" s="1"/>
      <c r="T66" s="1">
        <f>SUM(OSRRefT22_8x_0)</f>
        <v>8124.6666666666642</v>
      </c>
      <c r="U66" s="1"/>
      <c r="V66" s="5">
        <f t="shared" si="43"/>
        <v>2.8927374061661322E-3</v>
      </c>
      <c r="W66" s="1"/>
      <c r="X66" s="1">
        <f t="shared" si="44"/>
        <v>433.32333333333554</v>
      </c>
      <c r="Y66" s="1"/>
      <c r="Z66" s="5">
        <f t="shared" si="45"/>
        <v>5.3334290637564903E-2</v>
      </c>
    </row>
    <row r="67" spans="1:26" s="24" customFormat="1" hidden="1" outlineLevel="2" x14ac:dyDescent="0.25">
      <c r="A67" s="27"/>
      <c r="B67" s="11" t="str">
        <f>CONCATENATE("          ", "6351", " - ", "EQUIPMENT RENTAL")</f>
        <v xml:space="preserve">          6351 - EQUIPMENT RENTAL</v>
      </c>
      <c r="C67" s="11"/>
      <c r="D67" s="7">
        <v>812.09</v>
      </c>
      <c r="E67" s="2"/>
      <c r="F67" s="6">
        <f t="shared" si="38"/>
        <v>6.0323134232845715E-3</v>
      </c>
      <c r="G67" s="2"/>
      <c r="H67" s="7">
        <v>1001.333333333333</v>
      </c>
      <c r="I67" s="2"/>
      <c r="J67" s="6">
        <f t="shared" si="39"/>
        <v>1.6465804678502966E-3</v>
      </c>
      <c r="K67" s="2"/>
      <c r="L67" s="7">
        <f t="shared" si="40"/>
        <v>-189.243333333333</v>
      </c>
      <c r="M67" s="2"/>
      <c r="N67" s="6">
        <f t="shared" si="41"/>
        <v>-0.18899134487350172</v>
      </c>
      <c r="O67" s="11"/>
      <c r="P67" s="7">
        <v>8557.99</v>
      </c>
      <c r="Q67" s="2"/>
      <c r="R67" s="6">
        <f t="shared" si="42"/>
        <v>7.8827404240020306E-3</v>
      </c>
      <c r="S67" s="2"/>
      <c r="T67" s="7">
        <v>8124.6666666666642</v>
      </c>
      <c r="U67" s="2"/>
      <c r="V67" s="6">
        <f t="shared" si="43"/>
        <v>2.8927374061661322E-3</v>
      </c>
      <c r="W67" s="2"/>
      <c r="X67" s="7">
        <f t="shared" si="44"/>
        <v>433.32333333333554</v>
      </c>
      <c r="Y67" s="2"/>
      <c r="Z67" s="6">
        <f t="shared" si="45"/>
        <v>5.3334290637564903E-2</v>
      </c>
    </row>
    <row r="68" spans="1:26" s="28" customFormat="1" outlineLevel="1" collapsed="1" x14ac:dyDescent="0.25">
      <c r="A68" s="29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0</v>
      </c>
      <c r="E68" s="1"/>
      <c r="F68" s="5">
        <f t="shared" si="38"/>
        <v>0</v>
      </c>
      <c r="G68" s="1"/>
      <c r="H68" s="1">
        <f>SUM(OSRRefH22_9x_0)</f>
        <v>0</v>
      </c>
      <c r="I68" s="1"/>
      <c r="J68" s="5">
        <f t="shared" si="39"/>
        <v>0</v>
      </c>
      <c r="K68" s="1"/>
      <c r="L68" s="1">
        <f t="shared" si="40"/>
        <v>0</v>
      </c>
      <c r="M68" s="1"/>
      <c r="N68" s="5">
        <f t="shared" si="41"/>
        <v>0</v>
      </c>
      <c r="O68" s="14"/>
      <c r="P68" s="1">
        <f>SUM(OSRRefP22_9x_0)</f>
        <v>-5.41</v>
      </c>
      <c r="Q68" s="1"/>
      <c r="R68" s="5">
        <f t="shared" si="42"/>
        <v>-4.9831357239084164E-6</v>
      </c>
      <c r="S68" s="1"/>
      <c r="T68" s="1">
        <f>SUM(OSRRefT22_9x_0)</f>
        <v>0</v>
      </c>
      <c r="U68" s="1"/>
      <c r="V68" s="5">
        <f t="shared" si="43"/>
        <v>0</v>
      </c>
      <c r="W68" s="1"/>
      <c r="X68" s="1">
        <f t="shared" si="44"/>
        <v>-5.41</v>
      </c>
      <c r="Y68" s="1"/>
      <c r="Z68" s="5">
        <f t="shared" si="45"/>
        <v>0</v>
      </c>
    </row>
    <row r="69" spans="1:26" s="24" customFormat="1" hidden="1" outlineLevel="2" x14ac:dyDescent="0.25">
      <c r="A69" s="27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8"/>
        <v>0</v>
      </c>
      <c r="G69" s="2"/>
      <c r="H69" s="7"/>
      <c r="I69" s="2"/>
      <c r="J69" s="6">
        <f t="shared" si="39"/>
        <v>0</v>
      </c>
      <c r="K69" s="2"/>
      <c r="L69" s="7">
        <f t="shared" si="40"/>
        <v>0</v>
      </c>
      <c r="M69" s="2"/>
      <c r="N69" s="6">
        <f t="shared" si="41"/>
        <v>0</v>
      </c>
      <c r="O69" s="11"/>
      <c r="P69" s="7">
        <v>-5.41</v>
      </c>
      <c r="Q69" s="2"/>
      <c r="R69" s="6">
        <f t="shared" si="42"/>
        <v>-4.9831357239084164E-6</v>
      </c>
      <c r="S69" s="2"/>
      <c r="T69" s="7"/>
      <c r="U69" s="2"/>
      <c r="V69" s="6">
        <f t="shared" si="43"/>
        <v>0</v>
      </c>
      <c r="W69" s="2"/>
      <c r="X69" s="7">
        <f t="shared" si="44"/>
        <v>-5.41</v>
      </c>
      <c r="Y69" s="2"/>
      <c r="Z69" s="6">
        <f t="shared" si="45"/>
        <v>0</v>
      </c>
    </row>
    <row r="70" spans="1:26" s="28" customFormat="1" outlineLevel="1" collapsed="1" x14ac:dyDescent="0.25">
      <c r="A70" s="29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1893.03</v>
      </c>
      <c r="E70" s="1"/>
      <c r="F70" s="5">
        <f t="shared" si="38"/>
        <v>1.4061680700021416E-2</v>
      </c>
      <c r="G70" s="1"/>
      <c r="H70" s="1">
        <f>SUM(OSRRefH22_10x_0)</f>
        <v>2230</v>
      </c>
      <c r="I70" s="1"/>
      <c r="J70" s="5">
        <f t="shared" si="39"/>
        <v>3.6669851297997627E-3</v>
      </c>
      <c r="K70" s="1"/>
      <c r="L70" s="1">
        <f t="shared" si="40"/>
        <v>-336.97</v>
      </c>
      <c r="M70" s="1"/>
      <c r="N70" s="5">
        <f t="shared" si="41"/>
        <v>-0.15110762331838568</v>
      </c>
      <c r="O70" s="14"/>
      <c r="P70" s="1">
        <f>SUM(OSRRefP22_10x_0)</f>
        <v>14128.91</v>
      </c>
      <c r="Q70" s="1"/>
      <c r="R70" s="5">
        <f t="shared" si="42"/>
        <v>1.3014099105524373E-2</v>
      </c>
      <c r="S70" s="1"/>
      <c r="T70" s="1">
        <f>SUM(OSRRefT22_10x_0)</f>
        <v>14470</v>
      </c>
      <c r="U70" s="1"/>
      <c r="V70" s="5">
        <f t="shared" si="43"/>
        <v>5.1519541643419969E-3</v>
      </c>
      <c r="W70" s="1"/>
      <c r="X70" s="1">
        <f t="shared" si="44"/>
        <v>-341.09000000000015</v>
      </c>
      <c r="Y70" s="1"/>
      <c r="Z70" s="5">
        <f t="shared" si="45"/>
        <v>-2.3572218382861103E-2</v>
      </c>
    </row>
    <row r="71" spans="1:26" s="24" customFormat="1" hidden="1" outlineLevel="2" x14ac:dyDescent="0.25">
      <c r="A71" s="27"/>
      <c r="B71" s="11" t="str">
        <f>CONCATENATE("          ", "6279", " - ", "GENERAL EXPENSE")</f>
        <v xml:space="preserve">          6279 - GENERAL EXPENSE</v>
      </c>
      <c r="C71" s="11"/>
      <c r="D71" s="7">
        <v>1893.03</v>
      </c>
      <c r="E71" s="2"/>
      <c r="F71" s="6">
        <f t="shared" si="38"/>
        <v>1.4061680700021416E-2</v>
      </c>
      <c r="G71" s="2"/>
      <c r="H71" s="7">
        <v>2230</v>
      </c>
      <c r="I71" s="2"/>
      <c r="J71" s="6">
        <f t="shared" si="39"/>
        <v>3.6669851297997627E-3</v>
      </c>
      <c r="K71" s="2"/>
      <c r="L71" s="7">
        <f t="shared" si="40"/>
        <v>-336.97</v>
      </c>
      <c r="M71" s="2"/>
      <c r="N71" s="6">
        <f t="shared" si="41"/>
        <v>-0.15110762331838568</v>
      </c>
      <c r="O71" s="11"/>
      <c r="P71" s="7">
        <v>14128.91</v>
      </c>
      <c r="Q71" s="2"/>
      <c r="R71" s="6">
        <f t="shared" si="42"/>
        <v>1.3014099105524373E-2</v>
      </c>
      <c r="S71" s="2"/>
      <c r="T71" s="7">
        <v>14470</v>
      </c>
      <c r="U71" s="2"/>
      <c r="V71" s="6">
        <f t="shared" si="43"/>
        <v>5.1519541643419969E-3</v>
      </c>
      <c r="W71" s="2"/>
      <c r="X71" s="7">
        <f t="shared" si="44"/>
        <v>-341.09000000000015</v>
      </c>
      <c r="Y71" s="2"/>
      <c r="Z71" s="6">
        <f t="shared" si="45"/>
        <v>-2.3572218382861103E-2</v>
      </c>
    </row>
    <row r="72" spans="1:26" s="28" customFormat="1" outlineLevel="1" collapsed="1" x14ac:dyDescent="0.25">
      <c r="A72" s="29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4246.03</v>
      </c>
      <c r="E72" s="1"/>
      <c r="F72" s="5">
        <f t="shared" si="38"/>
        <v>3.1540080243161454E-2</v>
      </c>
      <c r="G72" s="1"/>
      <c r="H72" s="1">
        <f>SUM(OSRRefH22_11x_0)</f>
        <v>4572</v>
      </c>
      <c r="I72" s="1"/>
      <c r="J72" s="5">
        <f t="shared" si="39"/>
        <v>7.5181417100648055E-3</v>
      </c>
      <c r="K72" s="1"/>
      <c r="L72" s="1">
        <f t="shared" si="40"/>
        <v>-325.97000000000025</v>
      </c>
      <c r="M72" s="1"/>
      <c r="N72" s="5">
        <f t="shared" si="41"/>
        <v>-7.1297025371828582E-2</v>
      </c>
      <c r="O72" s="14"/>
      <c r="P72" s="1">
        <f>SUM(OSRRefP22_11x_0)</f>
        <v>40080.239999999998</v>
      </c>
      <c r="Q72" s="1"/>
      <c r="R72" s="5">
        <f t="shared" si="42"/>
        <v>3.6917795890355466E-2</v>
      </c>
      <c r="S72" s="1"/>
      <c r="T72" s="1">
        <f>SUM(OSRRefT22_11x_0)</f>
        <v>36576</v>
      </c>
      <c r="U72" s="1"/>
      <c r="V72" s="5">
        <f t="shared" si="43"/>
        <v>1.3022658985139799E-2</v>
      </c>
      <c r="W72" s="1"/>
      <c r="X72" s="1">
        <f t="shared" si="44"/>
        <v>3504.239999999998</v>
      </c>
      <c r="Y72" s="1"/>
      <c r="Z72" s="5">
        <f t="shared" si="45"/>
        <v>9.580708661417317E-2</v>
      </c>
    </row>
    <row r="73" spans="1:26" s="24" customFormat="1" hidden="1" outlineLevel="2" x14ac:dyDescent="0.25">
      <c r="A73" s="27"/>
      <c r="B73" s="11" t="str">
        <f>CONCATENATE("          ", "6314", " - ", "LIABILITY INSURANCE")</f>
        <v xml:space="preserve">          6314 - LIABILITY INSURANCE</v>
      </c>
      <c r="C73" s="11"/>
      <c r="D73" s="7">
        <v>4246.03</v>
      </c>
      <c r="E73" s="2"/>
      <c r="F73" s="6">
        <f t="shared" si="38"/>
        <v>3.1540080243161454E-2</v>
      </c>
      <c r="G73" s="2"/>
      <c r="H73" s="7">
        <v>4572</v>
      </c>
      <c r="I73" s="2"/>
      <c r="J73" s="6">
        <f t="shared" si="39"/>
        <v>7.5181417100648055E-3</v>
      </c>
      <c r="K73" s="2"/>
      <c r="L73" s="7">
        <f t="shared" si="40"/>
        <v>-325.97000000000025</v>
      </c>
      <c r="M73" s="2"/>
      <c r="N73" s="6">
        <f t="shared" si="41"/>
        <v>-7.1297025371828582E-2</v>
      </c>
      <c r="O73" s="11"/>
      <c r="P73" s="7">
        <v>40080.239999999998</v>
      </c>
      <c r="Q73" s="2"/>
      <c r="R73" s="6">
        <f t="shared" si="42"/>
        <v>3.6917795890355466E-2</v>
      </c>
      <c r="S73" s="2"/>
      <c r="T73" s="7">
        <v>36576</v>
      </c>
      <c r="U73" s="2"/>
      <c r="V73" s="6">
        <f t="shared" si="43"/>
        <v>1.3022658985139799E-2</v>
      </c>
      <c r="W73" s="2"/>
      <c r="X73" s="7">
        <f t="shared" si="44"/>
        <v>3504.239999999998</v>
      </c>
      <c r="Y73" s="2"/>
      <c r="Z73" s="6">
        <f t="shared" si="45"/>
        <v>9.580708661417317E-2</v>
      </c>
    </row>
    <row r="74" spans="1:26" s="28" customFormat="1" outlineLevel="1" collapsed="1" x14ac:dyDescent="0.25">
      <c r="A74" s="29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7510</v>
      </c>
      <c r="E74" s="1"/>
      <c r="F74" s="5">
        <f t="shared" si="38"/>
        <v>5.5785287109639481E-2</v>
      </c>
      <c r="G74" s="1"/>
      <c r="H74" s="1">
        <f>SUM(OSRRefH22_12x_0)</f>
        <v>7510</v>
      </c>
      <c r="I74" s="1"/>
      <c r="J74" s="5">
        <f t="shared" si="39"/>
        <v>1.2349353508877229E-2</v>
      </c>
      <c r="K74" s="1"/>
      <c r="L74" s="1">
        <f t="shared" si="40"/>
        <v>0</v>
      </c>
      <c r="M74" s="1"/>
      <c r="N74" s="5">
        <f t="shared" si="41"/>
        <v>0</v>
      </c>
      <c r="O74" s="14"/>
      <c r="P74" s="1">
        <f>SUM(OSRRefP22_12x_0)</f>
        <v>59593.149999999994</v>
      </c>
      <c r="Q74" s="1"/>
      <c r="R74" s="5">
        <f t="shared" si="42"/>
        <v>5.489108219320385E-2</v>
      </c>
      <c r="S74" s="1"/>
      <c r="T74" s="1">
        <f>SUM(OSRRefT22_12x_0)</f>
        <v>60080</v>
      </c>
      <c r="U74" s="1"/>
      <c r="V74" s="5">
        <f t="shared" si="43"/>
        <v>2.1391113074890614E-2</v>
      </c>
      <c r="W74" s="1"/>
      <c r="X74" s="1">
        <f t="shared" si="44"/>
        <v>-486.85000000000582</v>
      </c>
      <c r="Y74" s="1"/>
      <c r="Z74" s="5">
        <f t="shared" si="45"/>
        <v>-8.1033621837550904E-3</v>
      </c>
    </row>
    <row r="75" spans="1:26" s="24" customFormat="1" hidden="1" outlineLevel="2" x14ac:dyDescent="0.25">
      <c r="A75" s="27"/>
      <c r="B75" s="11" t="str">
        <f>CONCATENATE("          ", "6401", " - ", "INTEREST EXPENSE")</f>
        <v xml:space="preserve">          6401 - INTEREST EXPENSE</v>
      </c>
      <c r="C75" s="11"/>
      <c r="D75" s="7">
        <v>7510</v>
      </c>
      <c r="E75" s="2"/>
      <c r="F75" s="6">
        <f t="shared" si="38"/>
        <v>5.5785287109639481E-2</v>
      </c>
      <c r="G75" s="2"/>
      <c r="H75" s="7">
        <v>7510</v>
      </c>
      <c r="I75" s="2"/>
      <c r="J75" s="6">
        <f t="shared" si="39"/>
        <v>1.2349353508877229E-2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>
        <v>59593.149999999994</v>
      </c>
      <c r="Q75" s="2"/>
      <c r="R75" s="6">
        <f t="shared" si="42"/>
        <v>5.489108219320385E-2</v>
      </c>
      <c r="S75" s="2"/>
      <c r="T75" s="7">
        <v>60080</v>
      </c>
      <c r="U75" s="2"/>
      <c r="V75" s="6">
        <f t="shared" si="43"/>
        <v>2.1391113074890614E-2</v>
      </c>
      <c r="W75" s="2"/>
      <c r="X75" s="7">
        <f t="shared" si="44"/>
        <v>-486.85000000000582</v>
      </c>
      <c r="Y75" s="2"/>
      <c r="Z75" s="6">
        <f t="shared" si="45"/>
        <v>-8.1033621837550904E-3</v>
      </c>
    </row>
    <row r="76" spans="1:26" s="28" customFormat="1" outlineLevel="1" collapsed="1" x14ac:dyDescent="0.25">
      <c r="A76" s="29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6342.49</v>
      </c>
      <c r="E76" s="1"/>
      <c r="F76" s="5">
        <f t="shared" si="38"/>
        <v>4.7112866263650771E-2</v>
      </c>
      <c r="G76" s="1"/>
      <c r="H76" s="1">
        <f>SUM(OSRRefH22_13x_0)</f>
        <v>44600</v>
      </c>
      <c r="I76" s="1"/>
      <c r="J76" s="5">
        <f t="shared" si="39"/>
        <v>7.333970259599526E-2</v>
      </c>
      <c r="K76" s="1"/>
      <c r="L76" s="1">
        <f t="shared" si="40"/>
        <v>-38257.51</v>
      </c>
      <c r="M76" s="1"/>
      <c r="N76" s="5">
        <f t="shared" si="41"/>
        <v>-0.85779170403587446</v>
      </c>
      <c r="O76" s="14"/>
      <c r="P76" s="1">
        <f>SUM(OSRRefP22_13x_0)</f>
        <v>52255.85</v>
      </c>
      <c r="Q76" s="1"/>
      <c r="R76" s="5">
        <f t="shared" si="42"/>
        <v>4.8132715881367763E-2</v>
      </c>
      <c r="S76" s="1"/>
      <c r="T76" s="1">
        <f>SUM(OSRRefT22_13x_0)</f>
        <v>213902</v>
      </c>
      <c r="U76" s="1"/>
      <c r="V76" s="5">
        <f t="shared" si="43"/>
        <v>7.6158486500420314E-2</v>
      </c>
      <c r="W76" s="1"/>
      <c r="X76" s="1">
        <f t="shared" si="44"/>
        <v>-161646.15</v>
      </c>
      <c r="Y76" s="1"/>
      <c r="Z76" s="5">
        <f t="shared" si="45"/>
        <v>-0.75570191022056832</v>
      </c>
    </row>
    <row r="77" spans="1:26" s="24" customFormat="1" hidden="1" outlineLevel="2" x14ac:dyDescent="0.25">
      <c r="A77" s="27"/>
      <c r="B77" s="11" t="str">
        <f>CONCATENATE("          ", "6387", " - ", "COMMISSION DUE HOUSING")</f>
        <v xml:space="preserve">          6387 - COMMISSION DUE HOUSING</v>
      </c>
      <c r="C77" s="11"/>
      <c r="D77" s="7">
        <v>6342.49</v>
      </c>
      <c r="E77" s="2"/>
      <c r="F77" s="6">
        <f t="shared" si="38"/>
        <v>4.7112866263650771E-2</v>
      </c>
      <c r="G77" s="2"/>
      <c r="H77" s="7">
        <v>44600</v>
      </c>
      <c r="I77" s="2"/>
      <c r="J77" s="6">
        <f t="shared" si="39"/>
        <v>7.333970259599526E-2</v>
      </c>
      <c r="K77" s="2"/>
      <c r="L77" s="7">
        <f t="shared" si="40"/>
        <v>-38257.51</v>
      </c>
      <c r="M77" s="2"/>
      <c r="N77" s="6">
        <f t="shared" si="41"/>
        <v>-0.85779170403587446</v>
      </c>
      <c r="O77" s="11"/>
      <c r="P77" s="7">
        <v>52255.85</v>
      </c>
      <c r="Q77" s="2"/>
      <c r="R77" s="6">
        <f t="shared" si="42"/>
        <v>4.8132715881367763E-2</v>
      </c>
      <c r="S77" s="2"/>
      <c r="T77" s="7">
        <v>213902</v>
      </c>
      <c r="U77" s="2"/>
      <c r="V77" s="6">
        <f t="shared" si="43"/>
        <v>7.6158486500420314E-2</v>
      </c>
      <c r="W77" s="2"/>
      <c r="X77" s="7">
        <f t="shared" si="44"/>
        <v>-161646.15</v>
      </c>
      <c r="Y77" s="2"/>
      <c r="Z77" s="6">
        <f t="shared" si="45"/>
        <v>-0.75570191022056832</v>
      </c>
    </row>
    <row r="78" spans="1:26" s="28" customFormat="1" outlineLevel="1" collapsed="1" x14ac:dyDescent="0.25">
      <c r="A78" s="29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0</v>
      </c>
      <c r="E78" s="1"/>
      <c r="F78" s="5">
        <f t="shared" si="38"/>
        <v>0</v>
      </c>
      <c r="G78" s="1"/>
      <c r="H78" s="1">
        <f>SUM(OSRRefH22_14x_0)</f>
        <v>1943</v>
      </c>
      <c r="I78" s="1"/>
      <c r="J78" s="5">
        <f t="shared" si="39"/>
        <v>3.195045787982484E-3</v>
      </c>
      <c r="K78" s="1"/>
      <c r="L78" s="1">
        <f t="shared" si="40"/>
        <v>-1943</v>
      </c>
      <c r="M78" s="1"/>
      <c r="N78" s="5">
        <f t="shared" si="41"/>
        <v>-1</v>
      </c>
      <c r="O78" s="14"/>
      <c r="P78" s="1">
        <f>SUM(OSRRefP22_14x_0)</f>
        <v>11100</v>
      </c>
      <c r="Q78" s="1"/>
      <c r="R78" s="5">
        <f t="shared" si="42"/>
        <v>1.0224178657187324E-2</v>
      </c>
      <c r="S78" s="1"/>
      <c r="T78" s="1">
        <f>SUM(OSRRefT22_14x_0)</f>
        <v>15544</v>
      </c>
      <c r="U78" s="1"/>
      <c r="V78" s="5">
        <f t="shared" si="43"/>
        <v>5.5343452336234968E-3</v>
      </c>
      <c r="W78" s="1"/>
      <c r="X78" s="1">
        <f t="shared" si="44"/>
        <v>-4444</v>
      </c>
      <c r="Y78" s="1"/>
      <c r="Z78" s="5">
        <f t="shared" si="45"/>
        <v>-0.28589809572825525</v>
      </c>
    </row>
    <row r="79" spans="1:26" s="24" customFormat="1" hidden="1" outlineLevel="2" x14ac:dyDescent="0.25">
      <c r="A79" s="27"/>
      <c r="B79" s="11" t="str">
        <f>CONCATENATE("          ", "6273", " - ", "RENT")</f>
        <v xml:space="preserve">          6273 - RENT</v>
      </c>
      <c r="C79" s="11"/>
      <c r="D79" s="7"/>
      <c r="E79" s="2"/>
      <c r="F79" s="6">
        <f t="shared" si="38"/>
        <v>0</v>
      </c>
      <c r="G79" s="2"/>
      <c r="H79" s="7">
        <v>1943</v>
      </c>
      <c r="I79" s="2"/>
      <c r="J79" s="6">
        <f t="shared" si="39"/>
        <v>3.195045787982484E-3</v>
      </c>
      <c r="K79" s="2"/>
      <c r="L79" s="7">
        <f t="shared" si="40"/>
        <v>-1943</v>
      </c>
      <c r="M79" s="2"/>
      <c r="N79" s="6">
        <f t="shared" si="41"/>
        <v>-1</v>
      </c>
      <c r="O79" s="11"/>
      <c r="P79" s="7">
        <v>11100</v>
      </c>
      <c r="Q79" s="2"/>
      <c r="R79" s="6">
        <f t="shared" si="42"/>
        <v>1.0224178657187324E-2</v>
      </c>
      <c r="S79" s="2"/>
      <c r="T79" s="7">
        <v>15544</v>
      </c>
      <c r="U79" s="2"/>
      <c r="V79" s="6">
        <f t="shared" si="43"/>
        <v>5.5343452336234968E-3</v>
      </c>
      <c r="W79" s="2"/>
      <c r="X79" s="7">
        <f t="shared" si="44"/>
        <v>-4444</v>
      </c>
      <c r="Y79" s="2"/>
      <c r="Z79" s="6">
        <f t="shared" si="45"/>
        <v>-0.28589809572825525</v>
      </c>
    </row>
    <row r="80" spans="1:26" s="28" customFormat="1" outlineLevel="1" collapsed="1" x14ac:dyDescent="0.25">
      <c r="A80" s="29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5623.8700000000008</v>
      </c>
      <c r="E80" s="1"/>
      <c r="F80" s="5">
        <f t="shared" si="38"/>
        <v>4.1774860534925198E-2</v>
      </c>
      <c r="G80" s="1"/>
      <c r="H80" s="1">
        <f>SUM(OSRRefH22_15x_0)</f>
        <v>43624</v>
      </c>
      <c r="I80" s="1"/>
      <c r="J80" s="5">
        <f t="shared" si="39"/>
        <v>7.1734779956226388E-2</v>
      </c>
      <c r="K80" s="1"/>
      <c r="L80" s="1">
        <f t="shared" si="40"/>
        <v>-38000.129999999997</v>
      </c>
      <c r="M80" s="1"/>
      <c r="N80" s="5">
        <f t="shared" si="41"/>
        <v>-0.87108311938382532</v>
      </c>
      <c r="O80" s="14"/>
      <c r="P80" s="1">
        <f>SUM(OSRRefP22_15x_0)</f>
        <v>40063.79</v>
      </c>
      <c r="Q80" s="1"/>
      <c r="R80" s="5">
        <f t="shared" si="42"/>
        <v>3.6902643841804951E-2</v>
      </c>
      <c r="S80" s="1"/>
      <c r="T80" s="1">
        <f>SUM(OSRRefT22_15x_0)</f>
        <v>90255</v>
      </c>
      <c r="U80" s="1"/>
      <c r="V80" s="5">
        <f t="shared" si="43"/>
        <v>3.213473552886572E-2</v>
      </c>
      <c r="W80" s="1"/>
      <c r="X80" s="1">
        <f t="shared" si="44"/>
        <v>-50191.21</v>
      </c>
      <c r="Y80" s="1"/>
      <c r="Z80" s="5">
        <f t="shared" si="45"/>
        <v>-0.55610448174616367</v>
      </c>
    </row>
    <row r="81" spans="1:26" s="24" customFormat="1" hidden="1" outlineLevel="2" x14ac:dyDescent="0.25">
      <c r="A81" s="27"/>
      <c r="B81" s="11" t="str">
        <f>CONCATENATE("          ", "6371", " - ", "COMPUTER SOFTWARE MAINTENANCE")</f>
        <v xml:space="preserve">          6371 - COMPUTER SOFTWARE MAINTENANCE</v>
      </c>
      <c r="C81" s="11"/>
      <c r="D81" s="7">
        <v>4202.2700000000004</v>
      </c>
      <c r="E81" s="2"/>
      <c r="F81" s="6">
        <f t="shared" si="38"/>
        <v>3.1215025094836851E-2</v>
      </c>
      <c r="G81" s="2"/>
      <c r="H81" s="7">
        <v>40245</v>
      </c>
      <c r="I81" s="2"/>
      <c r="J81" s="6">
        <f t="shared" si="39"/>
        <v>6.6178393071206931E-2</v>
      </c>
      <c r="K81" s="2"/>
      <c r="L81" s="7">
        <f t="shared" si="40"/>
        <v>-36042.729999999996</v>
      </c>
      <c r="M81" s="2"/>
      <c r="N81" s="6">
        <f t="shared" si="41"/>
        <v>-0.89558280531743062</v>
      </c>
      <c r="O81" s="11"/>
      <c r="P81" s="7">
        <v>11202.27</v>
      </c>
      <c r="Q81" s="2"/>
      <c r="R81" s="6">
        <f t="shared" si="42"/>
        <v>1.0318379265409896E-2</v>
      </c>
      <c r="S81" s="2"/>
      <c r="T81" s="7">
        <v>56745</v>
      </c>
      <c r="U81" s="2"/>
      <c r="V81" s="6">
        <f t="shared" si="43"/>
        <v>2.0203706914691543E-2</v>
      </c>
      <c r="W81" s="2"/>
      <c r="X81" s="7">
        <f t="shared" si="44"/>
        <v>-45542.729999999996</v>
      </c>
      <c r="Y81" s="2"/>
      <c r="Z81" s="6">
        <f t="shared" si="45"/>
        <v>-0.80258577848268564</v>
      </c>
    </row>
    <row r="82" spans="1:26" s="24" customFormat="1" hidden="1" outlineLevel="2" x14ac:dyDescent="0.25">
      <c r="A82" s="27"/>
      <c r="B82" s="11" t="str">
        <f>CONCATENATE("          ", "6372", " - ", "COMPUTER HARDWARE MAINTENANCE")</f>
        <v xml:space="preserve">          6372 - COMPUTER HARDWARE MAINTENANCE</v>
      </c>
      <c r="C82" s="11"/>
      <c r="D82" s="7"/>
      <c r="E82" s="2"/>
      <c r="F82" s="6">
        <f t="shared" si="38"/>
        <v>0</v>
      </c>
      <c r="G82" s="2"/>
      <c r="H82" s="7"/>
      <c r="I82" s="2"/>
      <c r="J82" s="6">
        <f t="shared" si="39"/>
        <v>0</v>
      </c>
      <c r="K82" s="2"/>
      <c r="L82" s="7">
        <f t="shared" si="40"/>
        <v>0</v>
      </c>
      <c r="M82" s="2"/>
      <c r="N82" s="6">
        <f t="shared" si="41"/>
        <v>0</v>
      </c>
      <c r="O82" s="11"/>
      <c r="P82" s="7"/>
      <c r="Q82" s="2"/>
      <c r="R82" s="6">
        <f t="shared" si="42"/>
        <v>0</v>
      </c>
      <c r="S82" s="2"/>
      <c r="T82" s="7">
        <v>3083</v>
      </c>
      <c r="U82" s="2"/>
      <c r="V82" s="6">
        <f t="shared" si="43"/>
        <v>1.0976831160101159E-3</v>
      </c>
      <c r="W82" s="2"/>
      <c r="X82" s="7">
        <f t="shared" si="44"/>
        <v>-3083</v>
      </c>
      <c r="Y82" s="2"/>
      <c r="Z82" s="6">
        <f t="shared" si="45"/>
        <v>-1</v>
      </c>
    </row>
    <row r="83" spans="1:26" s="24" customFormat="1" hidden="1" outlineLevel="2" x14ac:dyDescent="0.25">
      <c r="A83" s="27"/>
      <c r="B83" s="11" t="str">
        <f>CONCATENATE("          ", "6373", " - ", "MAINTENANCE CONTRACTS")</f>
        <v xml:space="preserve">          6373 - MAINTENANCE CONTRACTS</v>
      </c>
      <c r="C83" s="11"/>
      <c r="D83" s="7">
        <v>9.5399999999999991</v>
      </c>
      <c r="E83" s="2"/>
      <c r="F83" s="6">
        <f t="shared" si="38"/>
        <v>7.0864399337677852E-5</v>
      </c>
      <c r="G83" s="2"/>
      <c r="H83" s="7">
        <v>1858</v>
      </c>
      <c r="I83" s="2"/>
      <c r="J83" s="6">
        <f t="shared" si="39"/>
        <v>3.0552728121829415E-3</v>
      </c>
      <c r="K83" s="2"/>
      <c r="L83" s="7">
        <f t="shared" si="40"/>
        <v>-1848.46</v>
      </c>
      <c r="M83" s="2"/>
      <c r="N83" s="6">
        <f t="shared" si="41"/>
        <v>-0.99486544671689991</v>
      </c>
      <c r="O83" s="11"/>
      <c r="P83" s="7">
        <v>14006.89</v>
      </c>
      <c r="Q83" s="2"/>
      <c r="R83" s="6">
        <f t="shared" si="42"/>
        <v>1.2901706828069419E-2</v>
      </c>
      <c r="S83" s="2"/>
      <c r="T83" s="7">
        <v>9633</v>
      </c>
      <c r="U83" s="2"/>
      <c r="V83" s="6">
        <f t="shared" si="43"/>
        <v>3.4297701772706608E-3</v>
      </c>
      <c r="W83" s="2"/>
      <c r="X83" s="7">
        <f t="shared" si="44"/>
        <v>4373.8899999999994</v>
      </c>
      <c r="Y83" s="2"/>
      <c r="Z83" s="6">
        <f t="shared" si="45"/>
        <v>0.45405273538876773</v>
      </c>
    </row>
    <row r="84" spans="1:26" s="24" customFormat="1" hidden="1" outlineLevel="2" x14ac:dyDescent="0.25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1412.06</v>
      </c>
      <c r="E84" s="2"/>
      <c r="F84" s="6">
        <f t="shared" si="38"/>
        <v>1.048897104075067E-2</v>
      </c>
      <c r="G84" s="2"/>
      <c r="H84" s="7">
        <v>1521</v>
      </c>
      <c r="I84" s="2"/>
      <c r="J84" s="6">
        <f t="shared" si="39"/>
        <v>2.5011140728365198E-3</v>
      </c>
      <c r="K84" s="2"/>
      <c r="L84" s="7">
        <f t="shared" si="40"/>
        <v>-108.94000000000005</v>
      </c>
      <c r="M84" s="2"/>
      <c r="N84" s="6">
        <f t="shared" si="41"/>
        <v>-7.1623931623931658E-2</v>
      </c>
      <c r="O84" s="11"/>
      <c r="P84" s="7">
        <v>14854.630000000001</v>
      </c>
      <c r="Q84" s="2"/>
      <c r="R84" s="6">
        <f t="shared" si="42"/>
        <v>1.3682557748325636E-2</v>
      </c>
      <c r="S84" s="2"/>
      <c r="T84" s="7">
        <v>20794</v>
      </c>
      <c r="U84" s="2"/>
      <c r="V84" s="6">
        <f t="shared" si="43"/>
        <v>7.4035753208933994E-3</v>
      </c>
      <c r="W84" s="2"/>
      <c r="X84" s="7">
        <f t="shared" si="44"/>
        <v>-5939.369999999999</v>
      </c>
      <c r="Y84" s="2"/>
      <c r="Z84" s="6">
        <f t="shared" si="45"/>
        <v>-0.28562902760411651</v>
      </c>
    </row>
    <row r="85" spans="1:26" s="28" customFormat="1" outlineLevel="1" collapsed="1" x14ac:dyDescent="0.25">
      <c r="A85" s="29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SUM(OSRRefD22_16x_0)</f>
        <v>0</v>
      </c>
      <c r="E85" s="1"/>
      <c r="F85" s="5">
        <f t="shared" ref="F85:F87" si="46">IF(D$12=0,0,D85/D$12)</f>
        <v>0</v>
      </c>
      <c r="G85" s="1"/>
      <c r="H85" s="1">
        <f>SUM(OSRRefH22_16x_0)</f>
        <v>0</v>
      </c>
      <c r="I85" s="1"/>
      <c r="J85" s="5">
        <f t="shared" ref="J85:J87" si="47">IF(H$12=0,0,H85/H$12)</f>
        <v>0</v>
      </c>
      <c r="K85" s="1"/>
      <c r="L85" s="1">
        <f t="shared" ref="L85:L87" si="48">+D85-H85</f>
        <v>0</v>
      </c>
      <c r="M85" s="1"/>
      <c r="N85" s="5">
        <f t="shared" ref="N85:N87" si="49">IF(H85=0,0,L85/H85)</f>
        <v>0</v>
      </c>
      <c r="O85" s="14"/>
      <c r="P85" s="1">
        <f>SUM(OSRRefP22_16x_0)</f>
        <v>0</v>
      </c>
      <c r="Q85" s="1"/>
      <c r="R85" s="5">
        <f t="shared" ref="R85:R87" si="50">IF(P$12=0,0,P85/P$12)</f>
        <v>0</v>
      </c>
      <c r="S85" s="1"/>
      <c r="T85" s="1">
        <f>SUM(OSRRefT22_16x_0)</f>
        <v>0</v>
      </c>
      <c r="U85" s="1"/>
      <c r="V85" s="5">
        <f t="shared" ref="V85:V87" si="51">IF(T$12=0,0,T85/T$12)</f>
        <v>0</v>
      </c>
      <c r="W85" s="1"/>
      <c r="X85" s="1">
        <f t="shared" ref="X85:X87" si="52">+P85-T85</f>
        <v>0</v>
      </c>
      <c r="Y85" s="1"/>
      <c r="Z85" s="5">
        <f t="shared" ref="Z85:Z87" si="53">IF(T85=0,0,X85/T85)</f>
        <v>0</v>
      </c>
    </row>
    <row r="86" spans="1:26" s="24" customFormat="1" hidden="1" outlineLevel="2" x14ac:dyDescent="0.25">
      <c r="A86" s="27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46"/>
        <v>0</v>
      </c>
      <c r="G86" s="2"/>
      <c r="H86" s="7">
        <v>0</v>
      </c>
      <c r="I86" s="2"/>
      <c r="J86" s="6">
        <f t="shared" si="47"/>
        <v>0</v>
      </c>
      <c r="K86" s="2"/>
      <c r="L86" s="7">
        <f t="shared" si="48"/>
        <v>0</v>
      </c>
      <c r="M86" s="2"/>
      <c r="N86" s="6">
        <f t="shared" si="49"/>
        <v>0</v>
      </c>
      <c r="O86" s="11"/>
      <c r="P86" s="7"/>
      <c r="Q86" s="2"/>
      <c r="R86" s="6">
        <f t="shared" si="50"/>
        <v>0</v>
      </c>
      <c r="S86" s="2"/>
      <c r="T86" s="7">
        <v>0</v>
      </c>
      <c r="U86" s="2"/>
      <c r="V86" s="6">
        <f t="shared" si="51"/>
        <v>0</v>
      </c>
      <c r="W86" s="2"/>
      <c r="X86" s="7">
        <f t="shared" si="52"/>
        <v>0</v>
      </c>
      <c r="Y86" s="2"/>
      <c r="Z86" s="6">
        <f t="shared" si="53"/>
        <v>0</v>
      </c>
    </row>
    <row r="87" spans="1:26" s="24" customFormat="1" hidden="1" outlineLevel="2" x14ac:dyDescent="0.25">
      <c r="A87" s="27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46"/>
        <v>0</v>
      </c>
      <c r="G87" s="2"/>
      <c r="H87" s="7">
        <v>0</v>
      </c>
      <c r="I87" s="2"/>
      <c r="J87" s="6">
        <f t="shared" si="47"/>
        <v>0</v>
      </c>
      <c r="K87" s="2"/>
      <c r="L87" s="7">
        <f t="shared" si="48"/>
        <v>0</v>
      </c>
      <c r="M87" s="2"/>
      <c r="N87" s="6">
        <f t="shared" si="49"/>
        <v>0</v>
      </c>
      <c r="O87" s="11"/>
      <c r="P87" s="7"/>
      <c r="Q87" s="2"/>
      <c r="R87" s="6">
        <f t="shared" si="50"/>
        <v>0</v>
      </c>
      <c r="S87" s="2"/>
      <c r="T87" s="7">
        <v>0</v>
      </c>
      <c r="U87" s="2"/>
      <c r="V87" s="6">
        <f t="shared" si="51"/>
        <v>0</v>
      </c>
      <c r="W87" s="2"/>
      <c r="X87" s="7">
        <f t="shared" si="52"/>
        <v>0</v>
      </c>
      <c r="Y87" s="2"/>
      <c r="Z87" s="6">
        <f t="shared" si="53"/>
        <v>0</v>
      </c>
    </row>
    <row r="88" spans="1:26" s="28" customFormat="1" outlineLevel="1" collapsed="1" x14ac:dyDescent="0.25">
      <c r="A88" s="29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SUM(OSRRefD22_17x_0)</f>
        <v>16399.45</v>
      </c>
      <c r="E88" s="1"/>
      <c r="F88" s="5">
        <f t="shared" ref="F88:F93" si="54">IF(D$12=0,0,D88/D$12)</f>
        <v>0.1218173138069477</v>
      </c>
      <c r="G88" s="1"/>
      <c r="H88" s="1">
        <f>SUM(OSRRefH22_17x_0)</f>
        <v>27107</v>
      </c>
      <c r="I88" s="1"/>
      <c r="J88" s="5">
        <f t="shared" ref="J88:J93" si="55">IF(H$12=0,0,H88/H$12)</f>
        <v>4.4574424176449405E-2</v>
      </c>
      <c r="K88" s="1"/>
      <c r="L88" s="1">
        <f t="shared" ref="L88:L93" si="56">+D88-H88</f>
        <v>-10707.55</v>
      </c>
      <c r="M88" s="1"/>
      <c r="N88" s="5">
        <f t="shared" ref="N88:N93" si="57">IF(H88=0,0,L88/H88)</f>
        <v>-0.39501051388940123</v>
      </c>
      <c r="O88" s="14"/>
      <c r="P88" s="1">
        <f>SUM(OSRRefP22_17x_0)</f>
        <v>139205.07</v>
      </c>
      <c r="Q88" s="1"/>
      <c r="R88" s="5">
        <f t="shared" ref="R88:R93" si="58">IF(P$12=0,0,P88/P$12)</f>
        <v>0.12822139690687095</v>
      </c>
      <c r="S88" s="1"/>
      <c r="T88" s="1">
        <f>SUM(OSRRefT22_17x_0)</f>
        <v>212561</v>
      </c>
      <c r="U88" s="1"/>
      <c r="V88" s="5">
        <f t="shared" ref="V88:V93" si="59">IF(T$12=0,0,T88/T$12)</f>
        <v>7.568103172955766E-2</v>
      </c>
      <c r="W88" s="1"/>
      <c r="X88" s="1">
        <f t="shared" ref="X88:X93" si="60">+P88-T88</f>
        <v>-73355.929999999993</v>
      </c>
      <c r="Y88" s="1"/>
      <c r="Z88" s="5">
        <f t="shared" ref="Z88:Z93" si="61">IF(T88=0,0,X88/T88)</f>
        <v>-0.3451053109460343</v>
      </c>
    </row>
    <row r="89" spans="1:26" s="24" customFormat="1" hidden="1" outlineLevel="2" x14ac:dyDescent="0.25">
      <c r="A89" s="27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1047.5999999999999</v>
      </c>
      <c r="E89" s="2"/>
      <c r="F89" s="6">
        <f t="shared" si="54"/>
        <v>7.7817132857600953E-3</v>
      </c>
      <c r="G89" s="2"/>
      <c r="H89" s="7">
        <v>2376</v>
      </c>
      <c r="I89" s="2"/>
      <c r="J89" s="6">
        <f t="shared" si="55"/>
        <v>3.9070657705848593E-3</v>
      </c>
      <c r="K89" s="2"/>
      <c r="L89" s="7">
        <f t="shared" si="56"/>
        <v>-1328.4</v>
      </c>
      <c r="M89" s="2"/>
      <c r="N89" s="6">
        <f t="shared" si="57"/>
        <v>-0.55909090909090908</v>
      </c>
      <c r="O89" s="11"/>
      <c r="P89" s="7">
        <v>16741.02</v>
      </c>
      <c r="Q89" s="2"/>
      <c r="R89" s="6">
        <f t="shared" si="58"/>
        <v>1.5420106250769922E-2</v>
      </c>
      <c r="S89" s="2"/>
      <c r="T89" s="7">
        <v>22266</v>
      </c>
      <c r="U89" s="2"/>
      <c r="V89" s="6">
        <f t="shared" si="59"/>
        <v>7.9276718329812645E-3</v>
      </c>
      <c r="W89" s="2"/>
      <c r="X89" s="7">
        <f t="shared" si="60"/>
        <v>-5524.98</v>
      </c>
      <c r="Y89" s="2"/>
      <c r="Z89" s="6">
        <f t="shared" si="61"/>
        <v>-0.24813527351118295</v>
      </c>
    </row>
    <row r="90" spans="1:26" s="24" customFormat="1" hidden="1" outlineLevel="2" x14ac:dyDescent="0.25">
      <c r="A90" s="27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54"/>
        <v>0</v>
      </c>
      <c r="G90" s="2"/>
      <c r="H90" s="7">
        <v>62</v>
      </c>
      <c r="I90" s="2"/>
      <c r="J90" s="6">
        <f t="shared" si="55"/>
        <v>1.0195205293613691E-4</v>
      </c>
      <c r="K90" s="2"/>
      <c r="L90" s="7">
        <f t="shared" si="56"/>
        <v>-62</v>
      </c>
      <c r="M90" s="2"/>
      <c r="N90" s="6">
        <f t="shared" si="57"/>
        <v>-1</v>
      </c>
      <c r="O90" s="11"/>
      <c r="P90" s="7"/>
      <c r="Q90" s="2"/>
      <c r="R90" s="6">
        <f t="shared" si="58"/>
        <v>0</v>
      </c>
      <c r="S90" s="2"/>
      <c r="T90" s="7">
        <v>310</v>
      </c>
      <c r="U90" s="2"/>
      <c r="V90" s="6">
        <f t="shared" si="59"/>
        <v>1.103735861054609E-4</v>
      </c>
      <c r="W90" s="2"/>
      <c r="X90" s="7">
        <f t="shared" si="60"/>
        <v>-310</v>
      </c>
      <c r="Y90" s="2"/>
      <c r="Z90" s="6">
        <f t="shared" si="61"/>
        <v>-1</v>
      </c>
    </row>
    <row r="91" spans="1:26" s="24" customFormat="1" hidden="1" outlineLevel="2" x14ac:dyDescent="0.25">
      <c r="A91" s="27"/>
      <c r="B91" s="11" t="str">
        <f>CONCATENATE("          ", "6284", " - ", "TRASH REMOVAL EXPENSE")</f>
        <v xml:space="preserve">          6284 - TRASH REMOVAL EXPENSE</v>
      </c>
      <c r="C91" s="11"/>
      <c r="D91" s="7">
        <v>5369</v>
      </c>
      <c r="E91" s="2"/>
      <c r="F91" s="6">
        <f t="shared" si="54"/>
        <v>3.988165199622562E-2</v>
      </c>
      <c r="G91" s="2"/>
      <c r="H91" s="7">
        <v>3761</v>
      </c>
      <c r="I91" s="2"/>
      <c r="J91" s="6">
        <f t="shared" si="55"/>
        <v>6.1845430821421115E-3</v>
      </c>
      <c r="K91" s="2"/>
      <c r="L91" s="7">
        <f t="shared" si="56"/>
        <v>1608</v>
      </c>
      <c r="M91" s="2"/>
      <c r="N91" s="6">
        <f t="shared" si="57"/>
        <v>0.42754586546131346</v>
      </c>
      <c r="O91" s="11"/>
      <c r="P91" s="7">
        <v>29888.75</v>
      </c>
      <c r="Q91" s="2"/>
      <c r="R91" s="6">
        <f t="shared" si="58"/>
        <v>2.7530443228829516E-2</v>
      </c>
      <c r="S91" s="2"/>
      <c r="T91" s="7">
        <v>27880</v>
      </c>
      <c r="U91" s="2"/>
      <c r="V91" s="6">
        <f t="shared" si="59"/>
        <v>9.9265018729685472E-3</v>
      </c>
      <c r="W91" s="2"/>
      <c r="X91" s="7">
        <f t="shared" si="60"/>
        <v>2008.75</v>
      </c>
      <c r="Y91" s="2"/>
      <c r="Z91" s="6">
        <f t="shared" si="61"/>
        <v>7.2049856527977046E-2</v>
      </c>
    </row>
    <row r="92" spans="1:26" s="24" customFormat="1" hidden="1" outlineLevel="2" x14ac:dyDescent="0.25">
      <c r="A92" s="27"/>
      <c r="B92" s="11" t="str">
        <f>CONCATENATE("          ", "6285", " - ", "JANITORIAL SERVICES")</f>
        <v xml:space="preserve">          6285 - JANITORIAL SERVICES</v>
      </c>
      <c r="C92" s="11"/>
      <c r="D92" s="7">
        <v>8897.19</v>
      </c>
      <c r="E92" s="2"/>
      <c r="F92" s="6">
        <f t="shared" si="54"/>
        <v>6.6089520455261425E-2</v>
      </c>
      <c r="G92" s="2"/>
      <c r="H92" s="7">
        <v>16408</v>
      </c>
      <c r="I92" s="2"/>
      <c r="J92" s="6">
        <f t="shared" si="55"/>
        <v>2.6981117493163457E-2</v>
      </c>
      <c r="K92" s="2"/>
      <c r="L92" s="7">
        <f t="shared" si="56"/>
        <v>-7510.8099999999995</v>
      </c>
      <c r="M92" s="2"/>
      <c r="N92" s="6">
        <f t="shared" si="57"/>
        <v>-0.45775292540224277</v>
      </c>
      <c r="O92" s="11"/>
      <c r="P92" s="7">
        <v>79867.17</v>
      </c>
      <c r="Q92" s="2"/>
      <c r="R92" s="6">
        <f t="shared" si="58"/>
        <v>7.3565424767923576E-2</v>
      </c>
      <c r="S92" s="2"/>
      <c r="T92" s="7">
        <v>126105</v>
      </c>
      <c r="U92" s="2"/>
      <c r="V92" s="6">
        <f t="shared" si="59"/>
        <v>4.4898906696223054E-2</v>
      </c>
      <c r="W92" s="2"/>
      <c r="X92" s="7">
        <f t="shared" si="60"/>
        <v>-46237.83</v>
      </c>
      <c r="Y92" s="2"/>
      <c r="Z92" s="6">
        <f t="shared" si="61"/>
        <v>-0.36666135363387653</v>
      </c>
    </row>
    <row r="93" spans="1:26" s="24" customFormat="1" hidden="1" outlineLevel="2" x14ac:dyDescent="0.25">
      <c r="A93" s="27"/>
      <c r="B93" s="11" t="str">
        <f>CONCATENATE("          ", "6286", " - ", "LAUNDRY EXPENSE")</f>
        <v xml:space="preserve">          6286 - LAUNDRY EXPENSE</v>
      </c>
      <c r="C93" s="11"/>
      <c r="D93" s="7">
        <v>1085.6600000000001</v>
      </c>
      <c r="E93" s="2"/>
      <c r="F93" s="6">
        <f t="shared" si="54"/>
        <v>8.0644280697005598E-3</v>
      </c>
      <c r="G93" s="2"/>
      <c r="H93" s="7">
        <v>4500</v>
      </c>
      <c r="I93" s="2"/>
      <c r="J93" s="6">
        <f t="shared" si="55"/>
        <v>7.3997457776228395E-3</v>
      </c>
      <c r="K93" s="2"/>
      <c r="L93" s="7">
        <f t="shared" si="56"/>
        <v>-3414.34</v>
      </c>
      <c r="M93" s="2"/>
      <c r="N93" s="6">
        <f t="shared" si="57"/>
        <v>-0.75874222222222221</v>
      </c>
      <c r="O93" s="11"/>
      <c r="P93" s="7">
        <v>12708.13</v>
      </c>
      <c r="Q93" s="2"/>
      <c r="R93" s="6">
        <f t="shared" si="58"/>
        <v>1.1705422659347922E-2</v>
      </c>
      <c r="S93" s="2"/>
      <c r="T93" s="7">
        <v>36000</v>
      </c>
      <c r="U93" s="2"/>
      <c r="V93" s="6">
        <f t="shared" si="59"/>
        <v>1.281757774127933E-2</v>
      </c>
      <c r="W93" s="2"/>
      <c r="X93" s="7">
        <f t="shared" si="60"/>
        <v>-23291.870000000003</v>
      </c>
      <c r="Y93" s="2"/>
      <c r="Z93" s="6">
        <f t="shared" si="61"/>
        <v>-0.646996388888889</v>
      </c>
    </row>
    <row r="94" spans="1:26" s="28" customFormat="1" outlineLevel="1" collapsed="1" x14ac:dyDescent="0.25">
      <c r="A94" s="29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SUM(OSRRefD22_18x_0)</f>
        <v>262.83999999999997</v>
      </c>
      <c r="E94" s="1"/>
      <c r="F94" s="5">
        <f t="shared" ref="F94:F96" si="62">IF(D$12=0,0,D94/D$12)</f>
        <v>1.952410767496357E-3</v>
      </c>
      <c r="G94" s="1"/>
      <c r="H94" s="1">
        <f>SUM(OSRRefH22_18x_0)</f>
        <v>202</v>
      </c>
      <c r="I94" s="1"/>
      <c r="J94" s="5">
        <f t="shared" ref="J94:J96" si="63">IF(H$12=0,0,H94/H$12)</f>
        <v>3.3216636601773636E-4</v>
      </c>
      <c r="K94" s="1"/>
      <c r="L94" s="1">
        <f t="shared" ref="L94:L96" si="64">+D94-H94</f>
        <v>60.839999999999975</v>
      </c>
      <c r="M94" s="1"/>
      <c r="N94" s="5">
        <f t="shared" ref="N94:N96" si="65">IF(H94=0,0,L94/H94)</f>
        <v>0.30118811881188107</v>
      </c>
      <c r="O94" s="14"/>
      <c r="P94" s="1">
        <f>SUM(OSRRefP22_18x_0)</f>
        <v>1592.01</v>
      </c>
      <c r="Q94" s="1"/>
      <c r="R94" s="5">
        <f t="shared" ref="R94:R96" si="66">IF(P$12=0,0,P94/P$12)</f>
        <v>1.4663959156782694E-3</v>
      </c>
      <c r="S94" s="1"/>
      <c r="T94" s="1">
        <f>SUM(OSRRefT22_18x_0)</f>
        <v>2481</v>
      </c>
      <c r="U94" s="1"/>
      <c r="V94" s="5">
        <f t="shared" ref="V94:V96" si="67">IF(T$12=0,0,T94/T$12)</f>
        <v>8.8334473266983376E-4</v>
      </c>
      <c r="W94" s="1"/>
      <c r="X94" s="1">
        <f t="shared" ref="X94:X96" si="68">+P94-T94</f>
        <v>-888.99</v>
      </c>
      <c r="Y94" s="1"/>
      <c r="Z94" s="5">
        <f t="shared" ref="Z94:Z96" si="69">IF(T94=0,0,X94/T94)</f>
        <v>-0.35831922611850059</v>
      </c>
    </row>
    <row r="95" spans="1:26" s="24" customFormat="1" hidden="1" outlineLevel="2" x14ac:dyDescent="0.25">
      <c r="A95" s="27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62"/>
        <v>0</v>
      </c>
      <c r="G95" s="2"/>
      <c r="H95" s="7"/>
      <c r="I95" s="2"/>
      <c r="J95" s="6">
        <f t="shared" si="63"/>
        <v>0</v>
      </c>
      <c r="K95" s="2"/>
      <c r="L95" s="7">
        <f t="shared" si="64"/>
        <v>0</v>
      </c>
      <c r="M95" s="2"/>
      <c r="N95" s="6">
        <f t="shared" si="65"/>
        <v>0</v>
      </c>
      <c r="O95" s="11"/>
      <c r="P95" s="7">
        <v>795</v>
      </c>
      <c r="Q95" s="2"/>
      <c r="R95" s="6">
        <f t="shared" si="66"/>
        <v>7.3227225517693E-4</v>
      </c>
      <c r="S95" s="2"/>
      <c r="T95" s="7">
        <v>900</v>
      </c>
      <c r="U95" s="2"/>
      <c r="V95" s="6">
        <f t="shared" si="67"/>
        <v>3.2043944353198322E-4</v>
      </c>
      <c r="W95" s="2"/>
      <c r="X95" s="7">
        <f t="shared" si="68"/>
        <v>-105</v>
      </c>
      <c r="Y95" s="2"/>
      <c r="Z95" s="6">
        <f t="shared" si="69"/>
        <v>-0.11666666666666667</v>
      </c>
    </row>
    <row r="96" spans="1:26" s="24" customFormat="1" hidden="1" outlineLevel="2" x14ac:dyDescent="0.25">
      <c r="A96" s="27"/>
      <c r="B96" s="11" t="str">
        <f>CONCATENATE("          ", "6275", " - ", "SUBSCRIPTIONS")</f>
        <v xml:space="preserve">          6275 - SUBSCRIPTIONS</v>
      </c>
      <c r="C96" s="11"/>
      <c r="D96" s="7">
        <v>262.83999999999997</v>
      </c>
      <c r="E96" s="2"/>
      <c r="F96" s="6">
        <f t="shared" si="62"/>
        <v>1.952410767496357E-3</v>
      </c>
      <c r="G96" s="2"/>
      <c r="H96" s="7">
        <v>202</v>
      </c>
      <c r="I96" s="2"/>
      <c r="J96" s="6">
        <f t="shared" si="63"/>
        <v>3.3216636601773636E-4</v>
      </c>
      <c r="K96" s="2"/>
      <c r="L96" s="7">
        <f t="shared" si="64"/>
        <v>60.839999999999975</v>
      </c>
      <c r="M96" s="2"/>
      <c r="N96" s="6">
        <f t="shared" si="65"/>
        <v>0.30118811881188107</v>
      </c>
      <c r="O96" s="11"/>
      <c r="P96" s="7">
        <v>797.01</v>
      </c>
      <c r="Q96" s="2"/>
      <c r="R96" s="6">
        <f t="shared" si="66"/>
        <v>7.3412366050133954E-4</v>
      </c>
      <c r="S96" s="2"/>
      <c r="T96" s="7">
        <v>1581</v>
      </c>
      <c r="U96" s="2"/>
      <c r="V96" s="6">
        <f t="shared" si="67"/>
        <v>5.6290528913785054E-4</v>
      </c>
      <c r="W96" s="2"/>
      <c r="X96" s="7">
        <f t="shared" si="68"/>
        <v>-783.99</v>
      </c>
      <c r="Y96" s="2"/>
      <c r="Z96" s="6">
        <f t="shared" si="69"/>
        <v>-0.4958823529411765</v>
      </c>
    </row>
    <row r="97" spans="1:26" s="28" customFormat="1" outlineLevel="1" collapsed="1" x14ac:dyDescent="0.25">
      <c r="A97" s="29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SUM(OSRRefD22_19x_0)</f>
        <v>12155.08</v>
      </c>
      <c r="E97" s="1"/>
      <c r="F97" s="5">
        <f t="shared" ref="F97:F108" si="70">IF(D$12=0,0,D97/D$12)</f>
        <v>9.0289564266396366E-2</v>
      </c>
      <c r="G97" s="1"/>
      <c r="H97" s="1">
        <f>SUM(OSRRefH22_19x_0)</f>
        <v>27953</v>
      </c>
      <c r="I97" s="1"/>
      <c r="J97" s="5">
        <f t="shared" ref="J97:J108" si="71">IF(H$12=0,0,H97/H$12)</f>
        <v>4.5965576382642495E-2</v>
      </c>
      <c r="K97" s="1"/>
      <c r="L97" s="1">
        <f t="shared" ref="L97:L108" si="72">+D97-H97</f>
        <v>-15797.92</v>
      </c>
      <c r="M97" s="1"/>
      <c r="N97" s="5">
        <f t="shared" ref="N97:N108" si="73">IF(H97=0,0,L97/H97)</f>
        <v>-0.5651600901513254</v>
      </c>
      <c r="O97" s="14"/>
      <c r="P97" s="1">
        <f>SUM(OSRRefP22_19x_0)</f>
        <v>91224.510000000009</v>
      </c>
      <c r="Q97" s="1"/>
      <c r="R97" s="5">
        <f t="shared" ref="R97:R108" si="74">IF(P$12=0,0,P97/P$12)</f>
        <v>8.4026638572465923E-2</v>
      </c>
      <c r="S97" s="1"/>
      <c r="T97" s="1">
        <f>SUM(OSRRefT22_19x_0)</f>
        <v>221781</v>
      </c>
      <c r="U97" s="1"/>
      <c r="V97" s="5">
        <f t="shared" ref="V97:V108" si="75">IF(T$12=0,0,T97/T$12)</f>
        <v>7.8963755806629746E-2</v>
      </c>
      <c r="W97" s="1"/>
      <c r="X97" s="1">
        <f t="shared" ref="X97:X108" si="76">+P97-T97</f>
        <v>-130556.48999999999</v>
      </c>
      <c r="Y97" s="1"/>
      <c r="Z97" s="5">
        <f t="shared" ref="Z97:Z108" si="77">IF(T97=0,0,X97/T97)</f>
        <v>-0.58867301527182214</v>
      </c>
    </row>
    <row r="98" spans="1:26" s="24" customFormat="1" hidden="1" outlineLevel="2" x14ac:dyDescent="0.25">
      <c r="A98" s="27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70"/>
        <v>0</v>
      </c>
      <c r="G98" s="2"/>
      <c r="H98" s="7">
        <v>100</v>
      </c>
      <c r="I98" s="2"/>
      <c r="J98" s="6">
        <f t="shared" si="71"/>
        <v>1.6443879505828533E-4</v>
      </c>
      <c r="K98" s="2"/>
      <c r="L98" s="7">
        <f t="shared" si="72"/>
        <v>-100</v>
      </c>
      <c r="M98" s="2"/>
      <c r="N98" s="6">
        <f t="shared" si="73"/>
        <v>-1</v>
      </c>
      <c r="O98" s="11"/>
      <c r="P98" s="7">
        <v>310.91000000000003</v>
      </c>
      <c r="Q98" s="2"/>
      <c r="R98" s="6">
        <f t="shared" si="74"/>
        <v>2.8637832309064061E-4</v>
      </c>
      <c r="S98" s="2"/>
      <c r="T98" s="7">
        <v>1876</v>
      </c>
      <c r="U98" s="2"/>
      <c r="V98" s="6">
        <f t="shared" si="75"/>
        <v>6.6793821785111169E-4</v>
      </c>
      <c r="W98" s="2"/>
      <c r="X98" s="7">
        <f t="shared" si="76"/>
        <v>-1565.09</v>
      </c>
      <c r="Y98" s="2"/>
      <c r="Z98" s="6">
        <f t="shared" si="77"/>
        <v>-0.83426972281449885</v>
      </c>
    </row>
    <row r="99" spans="1:26" s="24" customFormat="1" hidden="1" outlineLevel="2" x14ac:dyDescent="0.25">
      <c r="A99" s="27"/>
      <c r="B99" s="11" t="str">
        <f>CONCATENATE("          ", "6235", " - ", "COVID-19 EXPENSES")</f>
        <v xml:space="preserve">          6235 - COVID-19 EXPENSES</v>
      </c>
      <c r="C99" s="11"/>
      <c r="D99" s="7">
        <v>2921.2</v>
      </c>
      <c r="E99" s="2"/>
      <c r="F99" s="6">
        <f t="shared" si="70"/>
        <v>2.1699065340170284E-2</v>
      </c>
      <c r="G99" s="2"/>
      <c r="H99" s="7">
        <v>12200</v>
      </c>
      <c r="I99" s="2"/>
      <c r="J99" s="6">
        <f t="shared" si="71"/>
        <v>2.0061532997110811E-2</v>
      </c>
      <c r="K99" s="2"/>
      <c r="L99" s="7">
        <f t="shared" si="72"/>
        <v>-9278.7999999999993</v>
      </c>
      <c r="M99" s="2"/>
      <c r="N99" s="6">
        <f t="shared" si="73"/>
        <v>-0.76055737704918025</v>
      </c>
      <c r="O99" s="11"/>
      <c r="P99" s="7">
        <v>60451.41</v>
      </c>
      <c r="Q99" s="2"/>
      <c r="R99" s="6">
        <f t="shared" si="74"/>
        <v>5.568162305575499E-2</v>
      </c>
      <c r="S99" s="2"/>
      <c r="T99" s="7">
        <v>90600</v>
      </c>
      <c r="U99" s="2"/>
      <c r="V99" s="6">
        <f t="shared" si="75"/>
        <v>3.2257570648886312E-2</v>
      </c>
      <c r="W99" s="2"/>
      <c r="X99" s="7">
        <f t="shared" si="76"/>
        <v>-30148.589999999997</v>
      </c>
      <c r="Y99" s="2"/>
      <c r="Z99" s="6">
        <f t="shared" si="77"/>
        <v>-0.33276589403973506</v>
      </c>
    </row>
    <row r="100" spans="1:26" s="24" customFormat="1" hidden="1" outlineLevel="2" x14ac:dyDescent="0.25">
      <c r="A100" s="27"/>
      <c r="B100" s="11" t="str">
        <f>CONCATENATE("          ", "6237", " - ", "JANITORIAL SUPPLIES")</f>
        <v xml:space="preserve">          6237 - JANITORIAL SUPPLIES</v>
      </c>
      <c r="C100" s="11"/>
      <c r="D100" s="7">
        <v>648.99</v>
      </c>
      <c r="E100" s="2"/>
      <c r="F100" s="6">
        <f t="shared" si="70"/>
        <v>4.8207847511697642E-3</v>
      </c>
      <c r="G100" s="2"/>
      <c r="H100" s="7">
        <v>10320</v>
      </c>
      <c r="I100" s="2"/>
      <c r="J100" s="6">
        <f t="shared" si="71"/>
        <v>1.6970083650015046E-2</v>
      </c>
      <c r="K100" s="2"/>
      <c r="L100" s="7">
        <f t="shared" si="72"/>
        <v>-9671.01</v>
      </c>
      <c r="M100" s="2"/>
      <c r="N100" s="6">
        <f t="shared" si="73"/>
        <v>-0.93711337209302326</v>
      </c>
      <c r="O100" s="11"/>
      <c r="P100" s="7">
        <v>18243.710000000003</v>
      </c>
      <c r="Q100" s="2"/>
      <c r="R100" s="6">
        <f t="shared" si="74"/>
        <v>1.6804229766659008E-2</v>
      </c>
      <c r="S100" s="2"/>
      <c r="T100" s="7">
        <v>75849</v>
      </c>
      <c r="U100" s="2"/>
      <c r="V100" s="6">
        <f t="shared" si="75"/>
        <v>2.7005568169397108E-2</v>
      </c>
      <c r="W100" s="2"/>
      <c r="X100" s="7">
        <f t="shared" si="76"/>
        <v>-57605.289999999994</v>
      </c>
      <c r="Y100" s="2"/>
      <c r="Z100" s="6">
        <f t="shared" si="77"/>
        <v>-0.75947329562683741</v>
      </c>
    </row>
    <row r="101" spans="1:26" s="24" customFormat="1" hidden="1" outlineLevel="2" x14ac:dyDescent="0.25">
      <c r="A101" s="27"/>
      <c r="B101" s="11" t="str">
        <f>CONCATENATE("          ", "6239", " - ", "KITCHEN SUPPLIES")</f>
        <v xml:space="preserve">          6239 - KITCHEN SUPPLIES</v>
      </c>
      <c r="C101" s="11"/>
      <c r="D101" s="7">
        <v>253.3</v>
      </c>
      <c r="E101" s="2"/>
      <c r="F101" s="6">
        <f t="shared" si="70"/>
        <v>1.8815463681586793E-3</v>
      </c>
      <c r="G101" s="2"/>
      <c r="H101" s="7">
        <v>2411</v>
      </c>
      <c r="I101" s="2"/>
      <c r="J101" s="6">
        <f t="shared" si="71"/>
        <v>3.9646193488552597E-3</v>
      </c>
      <c r="K101" s="2"/>
      <c r="L101" s="7">
        <f t="shared" si="72"/>
        <v>-2157.6999999999998</v>
      </c>
      <c r="M101" s="2"/>
      <c r="N101" s="6">
        <f t="shared" si="73"/>
        <v>-0.89493985897967643</v>
      </c>
      <c r="O101" s="11"/>
      <c r="P101" s="7">
        <v>7067.16</v>
      </c>
      <c r="Q101" s="2"/>
      <c r="R101" s="6">
        <f t="shared" si="74"/>
        <v>6.5095411206241406E-3</v>
      </c>
      <c r="S101" s="2"/>
      <c r="T101" s="7">
        <v>17943</v>
      </c>
      <c r="U101" s="2"/>
      <c r="V101" s="6">
        <f t="shared" si="75"/>
        <v>6.3884943725493054E-3</v>
      </c>
      <c r="W101" s="2"/>
      <c r="X101" s="7">
        <f t="shared" si="76"/>
        <v>-10875.84</v>
      </c>
      <c r="Y101" s="2"/>
      <c r="Z101" s="6">
        <f t="shared" si="77"/>
        <v>-0.60613275372011366</v>
      </c>
    </row>
    <row r="102" spans="1:26" s="24" customFormat="1" hidden="1" outlineLevel="2" x14ac:dyDescent="0.25">
      <c r="A102" s="27"/>
      <c r="B102" s="11" t="str">
        <f>CONCATENATE("          ", "6241", " - ", "OFFICE EXPENSE")</f>
        <v xml:space="preserve">          6241 - OFFICE EXPENSE</v>
      </c>
      <c r="C102" s="11"/>
      <c r="D102" s="7">
        <v>1130.8499999999999</v>
      </c>
      <c r="E102" s="2"/>
      <c r="F102" s="6">
        <f t="shared" si="70"/>
        <v>8.4001054497917175E-3</v>
      </c>
      <c r="G102" s="2"/>
      <c r="H102" s="7">
        <v>1025</v>
      </c>
      <c r="I102" s="2"/>
      <c r="J102" s="6">
        <f t="shared" si="71"/>
        <v>1.6854976493474246E-3</v>
      </c>
      <c r="K102" s="2"/>
      <c r="L102" s="7">
        <f t="shared" si="72"/>
        <v>105.84999999999991</v>
      </c>
      <c r="M102" s="2"/>
      <c r="N102" s="6">
        <f t="shared" si="73"/>
        <v>0.10326829268292674</v>
      </c>
      <c r="O102" s="11"/>
      <c r="P102" s="7">
        <v>-23668.25</v>
      </c>
      <c r="Q102" s="2"/>
      <c r="R102" s="6">
        <f t="shared" si="74"/>
        <v>-2.1800758243511159E-2</v>
      </c>
      <c r="S102" s="2"/>
      <c r="T102" s="7">
        <v>13212</v>
      </c>
      <c r="U102" s="2"/>
      <c r="V102" s="6">
        <f t="shared" si="75"/>
        <v>4.7040510310495135E-3</v>
      </c>
      <c r="W102" s="2"/>
      <c r="X102" s="7">
        <f t="shared" si="76"/>
        <v>-36880.25</v>
      </c>
      <c r="Y102" s="2"/>
      <c r="Z102" s="6">
        <f t="shared" si="77"/>
        <v>-2.7914206781713595</v>
      </c>
    </row>
    <row r="103" spans="1:26" s="24" customFormat="1" hidden="1" outlineLevel="2" x14ac:dyDescent="0.25">
      <c r="A103" s="27"/>
      <c r="B103" s="11" t="str">
        <f>CONCATENATE("          ", "6243", " - ", "PAPER SUPPLIES")</f>
        <v xml:space="preserve">          6243 - PAPER SUPPLIES</v>
      </c>
      <c r="C103" s="11"/>
      <c r="D103" s="7">
        <v>7200.74</v>
      </c>
      <c r="E103" s="2"/>
      <c r="F103" s="6">
        <f t="shared" si="70"/>
        <v>5.348806235710591E-2</v>
      </c>
      <c r="G103" s="2"/>
      <c r="H103" s="7">
        <v>1129</v>
      </c>
      <c r="I103" s="2"/>
      <c r="J103" s="6">
        <f t="shared" si="71"/>
        <v>1.8565139962080414E-3</v>
      </c>
      <c r="K103" s="2"/>
      <c r="L103" s="7">
        <f t="shared" si="72"/>
        <v>6071.74</v>
      </c>
      <c r="M103" s="2"/>
      <c r="N103" s="6">
        <f t="shared" si="73"/>
        <v>5.3779805137289634</v>
      </c>
      <c r="O103" s="11"/>
      <c r="P103" s="7">
        <v>24318.98</v>
      </c>
      <c r="Q103" s="2"/>
      <c r="R103" s="6">
        <f t="shared" si="74"/>
        <v>2.2400143809059945E-2</v>
      </c>
      <c r="S103" s="2"/>
      <c r="T103" s="7">
        <v>8619</v>
      </c>
      <c r="U103" s="2"/>
      <c r="V103" s="6">
        <f t="shared" si="75"/>
        <v>3.0687417375579594E-3</v>
      </c>
      <c r="W103" s="2"/>
      <c r="X103" s="7">
        <f t="shared" si="76"/>
        <v>15699.98</v>
      </c>
      <c r="Y103" s="2"/>
      <c r="Z103" s="6">
        <f t="shared" si="77"/>
        <v>1.8215547047221254</v>
      </c>
    </row>
    <row r="104" spans="1:26" s="24" customFormat="1" hidden="1" outlineLevel="2" x14ac:dyDescent="0.25">
      <c r="A104" s="27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70"/>
        <v>0</v>
      </c>
      <c r="G104" s="2"/>
      <c r="H104" s="7">
        <v>100</v>
      </c>
      <c r="I104" s="2"/>
      <c r="J104" s="6">
        <f t="shared" si="71"/>
        <v>1.6443879505828533E-4</v>
      </c>
      <c r="K104" s="2"/>
      <c r="L104" s="7">
        <f t="shared" si="72"/>
        <v>-100</v>
      </c>
      <c r="M104" s="2"/>
      <c r="N104" s="6">
        <f t="shared" si="73"/>
        <v>-1</v>
      </c>
      <c r="O104" s="11"/>
      <c r="P104" s="7"/>
      <c r="Q104" s="2"/>
      <c r="R104" s="6">
        <f t="shared" si="74"/>
        <v>0</v>
      </c>
      <c r="S104" s="2"/>
      <c r="T104" s="7">
        <v>1080</v>
      </c>
      <c r="U104" s="2"/>
      <c r="V104" s="6">
        <f t="shared" si="75"/>
        <v>3.8452733223837989E-4</v>
      </c>
      <c r="W104" s="2"/>
      <c r="X104" s="7">
        <f t="shared" si="76"/>
        <v>-1080</v>
      </c>
      <c r="Y104" s="2"/>
      <c r="Z104" s="6">
        <f t="shared" si="77"/>
        <v>-1</v>
      </c>
    </row>
    <row r="105" spans="1:26" s="24" customFormat="1" hidden="1" outlineLevel="2" x14ac:dyDescent="0.25">
      <c r="A105" s="27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70"/>
        <v>0</v>
      </c>
      <c r="G105" s="2"/>
      <c r="H105" s="7">
        <v>150</v>
      </c>
      <c r="I105" s="2"/>
      <c r="J105" s="6">
        <f t="shared" si="71"/>
        <v>2.4665819258742802E-4</v>
      </c>
      <c r="K105" s="2"/>
      <c r="L105" s="7">
        <f t="shared" si="72"/>
        <v>-150</v>
      </c>
      <c r="M105" s="2"/>
      <c r="N105" s="6">
        <f t="shared" si="73"/>
        <v>-1</v>
      </c>
      <c r="O105" s="11"/>
      <c r="P105" s="7"/>
      <c r="Q105" s="2"/>
      <c r="R105" s="6">
        <f t="shared" si="74"/>
        <v>0</v>
      </c>
      <c r="S105" s="2"/>
      <c r="T105" s="7">
        <v>2200</v>
      </c>
      <c r="U105" s="2"/>
      <c r="V105" s="6">
        <f t="shared" si="75"/>
        <v>7.8329641752262569E-4</v>
      </c>
      <c r="W105" s="2"/>
      <c r="X105" s="7">
        <f t="shared" si="76"/>
        <v>-2200</v>
      </c>
      <c r="Y105" s="2"/>
      <c r="Z105" s="6">
        <f t="shared" si="77"/>
        <v>-1</v>
      </c>
    </row>
    <row r="106" spans="1:26" s="24" customFormat="1" hidden="1" outlineLevel="2" x14ac:dyDescent="0.25">
      <c r="A106" s="27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70"/>
        <v>0</v>
      </c>
      <c r="G106" s="2"/>
      <c r="H106" s="7">
        <v>0</v>
      </c>
      <c r="I106" s="2"/>
      <c r="J106" s="6">
        <f t="shared" si="71"/>
        <v>0</v>
      </c>
      <c r="K106" s="2"/>
      <c r="L106" s="7">
        <f t="shared" si="72"/>
        <v>0</v>
      </c>
      <c r="M106" s="2"/>
      <c r="N106" s="6">
        <f t="shared" si="73"/>
        <v>0</v>
      </c>
      <c r="O106" s="11"/>
      <c r="P106" s="7"/>
      <c r="Q106" s="2"/>
      <c r="R106" s="6">
        <f t="shared" si="74"/>
        <v>0</v>
      </c>
      <c r="S106" s="2"/>
      <c r="T106" s="7">
        <v>0</v>
      </c>
      <c r="U106" s="2"/>
      <c r="V106" s="6">
        <f t="shared" si="75"/>
        <v>0</v>
      </c>
      <c r="W106" s="2"/>
      <c r="X106" s="7">
        <f t="shared" si="76"/>
        <v>0</v>
      </c>
      <c r="Y106" s="2"/>
      <c r="Z106" s="6">
        <f t="shared" si="77"/>
        <v>0</v>
      </c>
    </row>
    <row r="107" spans="1:26" s="24" customFormat="1" hidden="1" outlineLevel="2" x14ac:dyDescent="0.25">
      <c r="A107" s="27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70"/>
        <v>0</v>
      </c>
      <c r="G107" s="2"/>
      <c r="H107" s="7">
        <v>18</v>
      </c>
      <c r="I107" s="2"/>
      <c r="J107" s="6">
        <f t="shared" si="71"/>
        <v>2.9598983110491361E-5</v>
      </c>
      <c r="K107" s="2"/>
      <c r="L107" s="7">
        <f t="shared" si="72"/>
        <v>-18</v>
      </c>
      <c r="M107" s="2"/>
      <c r="N107" s="6">
        <f t="shared" si="73"/>
        <v>-1</v>
      </c>
      <c r="O107" s="11"/>
      <c r="P107" s="7"/>
      <c r="Q107" s="2"/>
      <c r="R107" s="6">
        <f t="shared" si="74"/>
        <v>0</v>
      </c>
      <c r="S107" s="2"/>
      <c r="T107" s="7">
        <v>537</v>
      </c>
      <c r="U107" s="2"/>
      <c r="V107" s="6">
        <f t="shared" si="75"/>
        <v>1.9119553464075001E-4</v>
      </c>
      <c r="W107" s="2"/>
      <c r="X107" s="7">
        <f t="shared" si="76"/>
        <v>-537</v>
      </c>
      <c r="Y107" s="2"/>
      <c r="Z107" s="6">
        <f t="shared" si="77"/>
        <v>-1</v>
      </c>
    </row>
    <row r="108" spans="1:26" s="24" customFormat="1" hidden="1" outlineLevel="2" x14ac:dyDescent="0.25">
      <c r="A108" s="27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70"/>
        <v>0</v>
      </c>
      <c r="G108" s="2"/>
      <c r="H108" s="7">
        <v>500</v>
      </c>
      <c r="I108" s="2"/>
      <c r="J108" s="6">
        <f t="shared" si="71"/>
        <v>8.2219397529142665E-4</v>
      </c>
      <c r="K108" s="2"/>
      <c r="L108" s="7">
        <f t="shared" si="72"/>
        <v>-500</v>
      </c>
      <c r="M108" s="2"/>
      <c r="N108" s="6">
        <f t="shared" si="73"/>
        <v>-1</v>
      </c>
      <c r="O108" s="11"/>
      <c r="P108" s="7">
        <v>4500.59</v>
      </c>
      <c r="Q108" s="2"/>
      <c r="R108" s="6">
        <f t="shared" si="74"/>
        <v>4.1454807407883517E-3</v>
      </c>
      <c r="S108" s="2"/>
      <c r="T108" s="7">
        <v>9865</v>
      </c>
      <c r="U108" s="2"/>
      <c r="V108" s="6">
        <f t="shared" si="75"/>
        <v>3.5123723449366831E-3</v>
      </c>
      <c r="W108" s="2"/>
      <c r="X108" s="7">
        <f t="shared" si="76"/>
        <v>-5364.41</v>
      </c>
      <c r="Y108" s="2"/>
      <c r="Z108" s="6">
        <f t="shared" si="77"/>
        <v>-0.54378205778003041</v>
      </c>
    </row>
    <row r="109" spans="1:26" s="28" customFormat="1" outlineLevel="1" collapsed="1" x14ac:dyDescent="0.25">
      <c r="A109" s="29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SUM(OSRRefD22_20x_0)</f>
        <v>546.14</v>
      </c>
      <c r="E109" s="1"/>
      <c r="F109" s="5">
        <f t="shared" ref="F109:F111" si="78">IF(D$12=0,0,D109/D$12)</f>
        <v>4.0568011587294945E-3</v>
      </c>
      <c r="G109" s="1"/>
      <c r="H109" s="1">
        <f>SUM(OSRRefH22_20x_0)</f>
        <v>960</v>
      </c>
      <c r="I109" s="1"/>
      <c r="J109" s="5">
        <f t="shared" ref="J109:J111" si="79">IF(H$12=0,0,H109/H$12)</f>
        <v>1.5786124325595393E-3</v>
      </c>
      <c r="K109" s="1"/>
      <c r="L109" s="1">
        <f t="shared" ref="L109:L111" si="80">+D109-H109</f>
        <v>-413.86</v>
      </c>
      <c r="M109" s="1"/>
      <c r="N109" s="5">
        <f t="shared" ref="N109:N111" si="81">IF(H109=0,0,L109/H109)</f>
        <v>-0.43110416666666668</v>
      </c>
      <c r="O109" s="14"/>
      <c r="P109" s="1">
        <f>SUM(OSRRefP22_20x_0)</f>
        <v>9476.73</v>
      </c>
      <c r="Q109" s="1"/>
      <c r="R109" s="5">
        <f t="shared" ref="R109:R111" si="82">IF(P$12=0,0,P109/P$12)</f>
        <v>8.7289892437771906E-3</v>
      </c>
      <c r="S109" s="1"/>
      <c r="T109" s="1">
        <f>SUM(OSRRefT22_20x_0)</f>
        <v>8472</v>
      </c>
      <c r="U109" s="1"/>
      <c r="V109" s="5">
        <f t="shared" ref="V109:V111" si="83">IF(T$12=0,0,T109/T$12)</f>
        <v>3.0164032951144021E-3</v>
      </c>
      <c r="W109" s="1"/>
      <c r="X109" s="1">
        <f t="shared" ref="X109:X111" si="84">+P109-T109</f>
        <v>1004.7299999999996</v>
      </c>
      <c r="Y109" s="1"/>
      <c r="Z109" s="5">
        <f t="shared" ref="Z109:Z111" si="85">IF(T109=0,0,X109/T109)</f>
        <v>0.11859419263456085</v>
      </c>
    </row>
    <row r="110" spans="1:26" s="24" customFormat="1" hidden="1" outlineLevel="2" x14ac:dyDescent="0.25">
      <c r="A110" s="27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78"/>
        <v>0</v>
      </c>
      <c r="G110" s="2"/>
      <c r="H110" s="7">
        <v>635</v>
      </c>
      <c r="I110" s="2"/>
      <c r="J110" s="6">
        <f t="shared" si="79"/>
        <v>1.0441863486201118E-3</v>
      </c>
      <c r="K110" s="2"/>
      <c r="L110" s="7">
        <f t="shared" si="80"/>
        <v>-635</v>
      </c>
      <c r="M110" s="2"/>
      <c r="N110" s="6">
        <f t="shared" si="81"/>
        <v>-1</v>
      </c>
      <c r="O110" s="11"/>
      <c r="P110" s="7"/>
      <c r="Q110" s="2"/>
      <c r="R110" s="6">
        <f t="shared" si="82"/>
        <v>0</v>
      </c>
      <c r="S110" s="2"/>
      <c r="T110" s="7">
        <v>5122</v>
      </c>
      <c r="U110" s="2"/>
      <c r="V110" s="6">
        <f t="shared" si="83"/>
        <v>1.8236564775231314E-3</v>
      </c>
      <c r="W110" s="2"/>
      <c r="X110" s="7">
        <f t="shared" si="84"/>
        <v>-5122</v>
      </c>
      <c r="Y110" s="2"/>
      <c r="Z110" s="6">
        <f t="shared" si="85"/>
        <v>-1</v>
      </c>
    </row>
    <row r="111" spans="1:26" s="24" customFormat="1" hidden="1" outlineLevel="2" x14ac:dyDescent="0.25">
      <c r="A111" s="27"/>
      <c r="B111" s="11" t="str">
        <f>CONCATENATE("          ", "6309", " - ", "TELEPHONE")</f>
        <v xml:space="preserve">          6309 - TELEPHONE</v>
      </c>
      <c r="C111" s="11"/>
      <c r="D111" s="7">
        <v>546.14</v>
      </c>
      <c r="E111" s="2"/>
      <c r="F111" s="6">
        <f t="shared" si="78"/>
        <v>4.0568011587294945E-3</v>
      </c>
      <c r="G111" s="2"/>
      <c r="H111" s="7">
        <v>325</v>
      </c>
      <c r="I111" s="2"/>
      <c r="J111" s="6">
        <f t="shared" si="79"/>
        <v>5.344260839394273E-4</v>
      </c>
      <c r="K111" s="2"/>
      <c r="L111" s="7">
        <f t="shared" si="80"/>
        <v>221.14</v>
      </c>
      <c r="M111" s="2"/>
      <c r="N111" s="6">
        <f t="shared" si="81"/>
        <v>0.68043076923076917</v>
      </c>
      <c r="O111" s="11"/>
      <c r="P111" s="7">
        <v>9476.73</v>
      </c>
      <c r="Q111" s="2"/>
      <c r="R111" s="6">
        <f t="shared" si="82"/>
        <v>8.7289892437771906E-3</v>
      </c>
      <c r="S111" s="2"/>
      <c r="T111" s="7">
        <v>3350</v>
      </c>
      <c r="U111" s="2"/>
      <c r="V111" s="6">
        <f t="shared" si="83"/>
        <v>1.1927468175912709E-3</v>
      </c>
      <c r="W111" s="2"/>
      <c r="X111" s="7">
        <f t="shared" si="84"/>
        <v>6126.73</v>
      </c>
      <c r="Y111" s="2"/>
      <c r="Z111" s="6">
        <f t="shared" si="85"/>
        <v>1.8288746268656715</v>
      </c>
    </row>
    <row r="112" spans="1:26" s="28" customFormat="1" outlineLevel="1" collapsed="1" x14ac:dyDescent="0.25">
      <c r="A112" s="29"/>
      <c r="B112" s="14" t="str">
        <f>CONCATENATE("     ","Training                                          ")</f>
        <v xml:space="preserve">     Training                                          </v>
      </c>
      <c r="C112" s="14"/>
      <c r="D112" s="1">
        <f>SUM(OSRRefD22_21x_0)</f>
        <v>0</v>
      </c>
      <c r="E112" s="1"/>
      <c r="F112" s="5">
        <f t="shared" ref="F112:F117" si="86">IF(D$12=0,0,D112/D$12)</f>
        <v>0</v>
      </c>
      <c r="G112" s="1"/>
      <c r="H112" s="1">
        <f>SUM(OSRRefH22_21x_0)</f>
        <v>750</v>
      </c>
      <c r="I112" s="1"/>
      <c r="J112" s="5">
        <f t="shared" ref="J112:J117" si="87">IF(H$12=0,0,H112/H$12)</f>
        <v>1.2332909629371399E-3</v>
      </c>
      <c r="K112" s="1"/>
      <c r="L112" s="1">
        <f t="shared" ref="L112:L117" si="88">+D112-H112</f>
        <v>-750</v>
      </c>
      <c r="M112" s="1"/>
      <c r="N112" s="5">
        <f t="shared" ref="N112:N117" si="89">IF(H112=0,0,L112/H112)</f>
        <v>-1</v>
      </c>
      <c r="O112" s="14"/>
      <c r="P112" s="1">
        <f>SUM(OSRRefP22_21x_0)</f>
        <v>1135</v>
      </c>
      <c r="Q112" s="1"/>
      <c r="R112" s="5">
        <f t="shared" ref="R112:R117" si="90">IF(P$12=0,0,P112/P$12)</f>
        <v>1.045445295126812E-3</v>
      </c>
      <c r="S112" s="1"/>
      <c r="T112" s="1">
        <f>SUM(OSRRefT22_21x_0)</f>
        <v>7150</v>
      </c>
      <c r="U112" s="1"/>
      <c r="V112" s="5">
        <f t="shared" ref="V112:V117" si="91">IF(T$12=0,0,T112/T$12)</f>
        <v>2.5457133569485335E-3</v>
      </c>
      <c r="W112" s="1"/>
      <c r="X112" s="1">
        <f t="shared" ref="X112:X117" si="92">+P112-T112</f>
        <v>-6015</v>
      </c>
      <c r="Y112" s="1"/>
      <c r="Z112" s="5">
        <f t="shared" ref="Z112:Z117" si="93">IF(T112=0,0,X112/T112)</f>
        <v>-0.84125874125874123</v>
      </c>
    </row>
    <row r="113" spans="1:26" s="24" customFormat="1" hidden="1" outlineLevel="2" x14ac:dyDescent="0.25">
      <c r="A113" s="27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86"/>
        <v>0</v>
      </c>
      <c r="G113" s="2"/>
      <c r="H113" s="7">
        <v>750</v>
      </c>
      <c r="I113" s="2"/>
      <c r="J113" s="6">
        <f t="shared" si="87"/>
        <v>1.2332909629371399E-3</v>
      </c>
      <c r="K113" s="2"/>
      <c r="L113" s="7">
        <f t="shared" si="88"/>
        <v>-750</v>
      </c>
      <c r="M113" s="2"/>
      <c r="N113" s="6">
        <f t="shared" si="89"/>
        <v>-1</v>
      </c>
      <c r="O113" s="11"/>
      <c r="P113" s="7">
        <v>1135</v>
      </c>
      <c r="Q113" s="2"/>
      <c r="R113" s="6">
        <f t="shared" si="90"/>
        <v>1.045445295126812E-3</v>
      </c>
      <c r="S113" s="2"/>
      <c r="T113" s="7">
        <v>7150</v>
      </c>
      <c r="U113" s="2"/>
      <c r="V113" s="6">
        <f t="shared" si="91"/>
        <v>2.5457133569485335E-3</v>
      </c>
      <c r="W113" s="2"/>
      <c r="X113" s="7">
        <f t="shared" si="92"/>
        <v>-6015</v>
      </c>
      <c r="Y113" s="2"/>
      <c r="Z113" s="6">
        <f t="shared" si="93"/>
        <v>-0.84125874125874123</v>
      </c>
    </row>
    <row r="114" spans="1:26" s="28" customFormat="1" outlineLevel="1" collapsed="1" x14ac:dyDescent="0.25">
      <c r="A114" s="29"/>
      <c r="B114" s="14" t="str">
        <f>CONCATENATE("     ","Travel                                            ")</f>
        <v xml:space="preserve">     Travel                                            </v>
      </c>
      <c r="C114" s="14"/>
      <c r="D114" s="1">
        <f>SUM(OSRRefD22_22x_0)</f>
        <v>0</v>
      </c>
      <c r="E114" s="1"/>
      <c r="F114" s="5">
        <f t="shared" si="86"/>
        <v>0</v>
      </c>
      <c r="G114" s="1"/>
      <c r="H114" s="1">
        <f>SUM(OSRRefH22_22x_0)</f>
        <v>300</v>
      </c>
      <c r="I114" s="1"/>
      <c r="J114" s="5">
        <f t="shared" si="87"/>
        <v>4.9331638517485603E-4</v>
      </c>
      <c r="K114" s="1"/>
      <c r="L114" s="1">
        <f t="shared" si="88"/>
        <v>-300</v>
      </c>
      <c r="M114" s="1"/>
      <c r="N114" s="5">
        <f t="shared" si="89"/>
        <v>-1</v>
      </c>
      <c r="O114" s="14"/>
      <c r="P114" s="1">
        <f>SUM(OSRRefP22_22x_0)</f>
        <v>332.21</v>
      </c>
      <c r="Q114" s="1"/>
      <c r="R114" s="5">
        <f t="shared" si="90"/>
        <v>3.0599769294632436E-4</v>
      </c>
      <c r="S114" s="1"/>
      <c r="T114" s="1">
        <f>SUM(OSRRefT22_22x_0)</f>
        <v>2400</v>
      </c>
      <c r="U114" s="1"/>
      <c r="V114" s="5">
        <f t="shared" si="91"/>
        <v>8.5450518275195526E-4</v>
      </c>
      <c r="W114" s="1"/>
      <c r="X114" s="1">
        <f t="shared" si="92"/>
        <v>-2067.79</v>
      </c>
      <c r="Y114" s="1"/>
      <c r="Z114" s="5">
        <f t="shared" si="93"/>
        <v>-0.86157916666666667</v>
      </c>
    </row>
    <row r="115" spans="1:26" s="24" customFormat="1" hidden="1" outlineLevel="2" x14ac:dyDescent="0.25">
      <c r="A115" s="27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6"/>
        <v>0</v>
      </c>
      <c r="G115" s="2"/>
      <c r="H115" s="7">
        <v>300</v>
      </c>
      <c r="I115" s="2"/>
      <c r="J115" s="6">
        <f t="shared" si="87"/>
        <v>4.9331638517485603E-4</v>
      </c>
      <c r="K115" s="2"/>
      <c r="L115" s="7">
        <f t="shared" si="88"/>
        <v>-300</v>
      </c>
      <c r="M115" s="2"/>
      <c r="N115" s="6">
        <f t="shared" si="89"/>
        <v>-1</v>
      </c>
      <c r="O115" s="11"/>
      <c r="P115" s="7"/>
      <c r="Q115" s="2"/>
      <c r="R115" s="6">
        <f t="shared" si="90"/>
        <v>0</v>
      </c>
      <c r="S115" s="2"/>
      <c r="T115" s="7">
        <v>2400</v>
      </c>
      <c r="U115" s="2"/>
      <c r="V115" s="6">
        <f t="shared" si="91"/>
        <v>8.5450518275195526E-4</v>
      </c>
      <c r="W115" s="2"/>
      <c r="X115" s="7">
        <f t="shared" si="92"/>
        <v>-2400</v>
      </c>
      <c r="Y115" s="2"/>
      <c r="Z115" s="6">
        <f t="shared" si="93"/>
        <v>-1</v>
      </c>
    </row>
    <row r="116" spans="1:26" s="24" customFormat="1" hidden="1" outlineLevel="2" x14ac:dyDescent="0.25">
      <c r="A116" s="27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6"/>
        <v>0</v>
      </c>
      <c r="G116" s="2"/>
      <c r="H116" s="7"/>
      <c r="I116" s="2"/>
      <c r="J116" s="6">
        <f t="shared" si="87"/>
        <v>0</v>
      </c>
      <c r="K116" s="2"/>
      <c r="L116" s="7">
        <f t="shared" si="88"/>
        <v>0</v>
      </c>
      <c r="M116" s="2"/>
      <c r="N116" s="6">
        <f t="shared" si="89"/>
        <v>0</v>
      </c>
      <c r="O116" s="11"/>
      <c r="P116" s="7"/>
      <c r="Q116" s="2"/>
      <c r="R116" s="6">
        <f t="shared" si="90"/>
        <v>0</v>
      </c>
      <c r="S116" s="2"/>
      <c r="T116" s="7">
        <v>0</v>
      </c>
      <c r="U116" s="2"/>
      <c r="V116" s="6">
        <f t="shared" si="91"/>
        <v>0</v>
      </c>
      <c r="W116" s="2"/>
      <c r="X116" s="7">
        <f t="shared" si="92"/>
        <v>0</v>
      </c>
      <c r="Y116" s="2"/>
      <c r="Z116" s="6">
        <f t="shared" si="93"/>
        <v>0</v>
      </c>
    </row>
    <row r="117" spans="1:26" s="24" customFormat="1" hidden="1" outlineLevel="2" x14ac:dyDescent="0.25">
      <c r="A117" s="27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86"/>
        <v>0</v>
      </c>
      <c r="G117" s="2"/>
      <c r="H117" s="7"/>
      <c r="I117" s="2"/>
      <c r="J117" s="6">
        <f t="shared" si="87"/>
        <v>0</v>
      </c>
      <c r="K117" s="2"/>
      <c r="L117" s="7">
        <f t="shared" si="88"/>
        <v>0</v>
      </c>
      <c r="M117" s="2"/>
      <c r="N117" s="6">
        <f t="shared" si="89"/>
        <v>0</v>
      </c>
      <c r="O117" s="11"/>
      <c r="P117" s="7">
        <v>332.21</v>
      </c>
      <c r="Q117" s="2"/>
      <c r="R117" s="6">
        <f t="shared" si="90"/>
        <v>3.0599769294632436E-4</v>
      </c>
      <c r="S117" s="2"/>
      <c r="T117" s="7"/>
      <c r="U117" s="2"/>
      <c r="V117" s="6">
        <f t="shared" si="91"/>
        <v>0</v>
      </c>
      <c r="W117" s="2"/>
      <c r="X117" s="7">
        <f t="shared" si="92"/>
        <v>332.21</v>
      </c>
      <c r="Y117" s="2"/>
      <c r="Z117" s="6">
        <f t="shared" si="93"/>
        <v>0</v>
      </c>
    </row>
    <row r="118" spans="1:26" s="28" customFormat="1" outlineLevel="1" collapsed="1" x14ac:dyDescent="0.25">
      <c r="A118" s="29"/>
      <c r="B118" s="14" t="str">
        <f>CONCATENATE("     ","Utilities                                         ")</f>
        <v xml:space="preserve">     Utilities                                         </v>
      </c>
      <c r="C118" s="14"/>
      <c r="D118" s="1">
        <f>SUM(OSRRefD22_23x_0)</f>
        <v>3660</v>
      </c>
      <c r="E118" s="1"/>
      <c r="F118" s="5">
        <f t="shared" ref="F118:F119" si="94">IF(D$12=0,0,D118/D$12)</f>
        <v>2.7186970815083956E-2</v>
      </c>
      <c r="G118" s="1"/>
      <c r="H118" s="1">
        <f>SUM(OSRRefH22_23x_0)</f>
        <v>3300</v>
      </c>
      <c r="I118" s="1"/>
      <c r="J118" s="5">
        <f t="shared" ref="J118:J119" si="95">IF(H$12=0,0,H118/H$12)</f>
        <v>5.4264802369234158E-3</v>
      </c>
      <c r="K118" s="1"/>
      <c r="L118" s="1">
        <f t="shared" ref="L118:L119" si="96">+D118-H118</f>
        <v>360</v>
      </c>
      <c r="M118" s="1"/>
      <c r="N118" s="5">
        <f t="shared" ref="N118:N119" si="97">IF(H118=0,0,L118/H118)</f>
        <v>0.10909090909090909</v>
      </c>
      <c r="O118" s="14"/>
      <c r="P118" s="1">
        <f>SUM(OSRRefP22_23x_0)</f>
        <v>8312</v>
      </c>
      <c r="Q118" s="1"/>
      <c r="R118" s="5">
        <f t="shared" ref="R118:R119" si="98">IF(P$12=0,0,P118/P$12)</f>
        <v>7.6561597295982916E-3</v>
      </c>
      <c r="S118" s="1"/>
      <c r="T118" s="1">
        <f>SUM(OSRRefT22_23x_0)</f>
        <v>26400</v>
      </c>
      <c r="U118" s="1"/>
      <c r="V118" s="5">
        <f t="shared" ref="V118:V119" si="99">IF(T$12=0,0,T118/T$12)</f>
        <v>9.3995570102715087E-3</v>
      </c>
      <c r="W118" s="1"/>
      <c r="X118" s="1">
        <f t="shared" ref="X118:X119" si="100">+P118-T118</f>
        <v>-18088</v>
      </c>
      <c r="Y118" s="1"/>
      <c r="Z118" s="5">
        <f t="shared" ref="Z118:Z119" si="101">IF(T118=0,0,X118/T118)</f>
        <v>-0.68515151515151518</v>
      </c>
    </row>
    <row r="119" spans="1:26" s="24" customFormat="1" hidden="1" outlineLevel="2" x14ac:dyDescent="0.25">
      <c r="A119" s="27"/>
      <c r="B119" s="11" t="str">
        <f>CONCATENATE("          ", "6274", " - ", "UTILITIES")</f>
        <v xml:space="preserve">          6274 - UTILITIES</v>
      </c>
      <c r="C119" s="11"/>
      <c r="D119" s="7">
        <v>3660</v>
      </c>
      <c r="E119" s="2"/>
      <c r="F119" s="6">
        <f t="shared" si="94"/>
        <v>2.7186970815083956E-2</v>
      </c>
      <c r="G119" s="2"/>
      <c r="H119" s="7">
        <v>3300</v>
      </c>
      <c r="I119" s="2"/>
      <c r="J119" s="6">
        <f t="shared" si="95"/>
        <v>5.4264802369234158E-3</v>
      </c>
      <c r="K119" s="2"/>
      <c r="L119" s="7">
        <f t="shared" si="96"/>
        <v>360</v>
      </c>
      <c r="M119" s="2"/>
      <c r="N119" s="6">
        <f t="shared" si="97"/>
        <v>0.10909090909090909</v>
      </c>
      <c r="O119" s="11"/>
      <c r="P119" s="7">
        <v>8312</v>
      </c>
      <c r="Q119" s="2"/>
      <c r="R119" s="6">
        <f t="shared" si="98"/>
        <v>7.6561597295982916E-3</v>
      </c>
      <c r="S119" s="2"/>
      <c r="T119" s="7">
        <v>26400</v>
      </c>
      <c r="U119" s="2"/>
      <c r="V119" s="6">
        <f t="shared" si="99"/>
        <v>9.3995570102715087E-3</v>
      </c>
      <c r="W119" s="2"/>
      <c r="X119" s="7">
        <f t="shared" si="100"/>
        <v>-18088</v>
      </c>
      <c r="Y119" s="2"/>
      <c r="Z119" s="6">
        <f t="shared" si="101"/>
        <v>-0.68515151515151518</v>
      </c>
    </row>
    <row r="120" spans="1:26" s="58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6" t="s">
        <v>0</v>
      </c>
      <c r="C121" s="10"/>
      <c r="D121" s="4">
        <f>SUM(OSRRefD25x_0)</f>
        <v>1400.8799999999999</v>
      </c>
      <c r="E121" s="4"/>
      <c r="F121" s="12">
        <f t="shared" ref="F121:F125" si="102">IF(D$12=0,0,D121/D$12)</f>
        <v>1.040592450148492E-2</v>
      </c>
      <c r="G121" s="4"/>
      <c r="H121" s="4">
        <f>SUM(OSRRefH25x_0)</f>
        <v>6050</v>
      </c>
      <c r="I121" s="4"/>
      <c r="J121" s="12">
        <f t="shared" ref="J121:J125" si="103">IF(H$12=0,0,H121/H$12)</f>
        <v>9.9485471010262623E-3</v>
      </c>
      <c r="K121" s="4"/>
      <c r="L121" s="4">
        <f t="shared" ref="L121:L125" si="104">+D121-H121</f>
        <v>-4649.12</v>
      </c>
      <c r="M121" s="4"/>
      <c r="N121" s="12">
        <f t="shared" ref="N121:N125" si="105">IF(H121=0,0,L121/H121)</f>
        <v>-0.76844958677685948</v>
      </c>
      <c r="O121" s="10"/>
      <c r="P121" s="4">
        <f>SUM(OSRRefP25x_0)</f>
        <v>17749.219999999998</v>
      </c>
      <c r="Q121" s="4"/>
      <c r="R121" s="12">
        <f t="shared" ref="R121:R125" si="106">IF(P$12=0,0,P121/P$12)</f>
        <v>1.6348756423938952E-2</v>
      </c>
      <c r="S121" s="4"/>
      <c r="T121" s="4">
        <f>SUM(OSRRefT25x_0)</f>
        <v>40275</v>
      </c>
      <c r="U121" s="4"/>
      <c r="V121" s="12">
        <f t="shared" ref="V121:V125" si="107">IF(T$12=0,0,T121/T$12)</f>
        <v>1.433966509805625E-2</v>
      </c>
      <c r="W121" s="4"/>
      <c r="X121" s="4">
        <f t="shared" ref="X121:X125" si="108">+P121-T121</f>
        <v>-22525.780000000002</v>
      </c>
      <c r="Y121" s="4"/>
      <c r="Z121" s="12">
        <f t="shared" ref="Z121:Z125" si="109">IF(T121=0,0,X121/T121)</f>
        <v>-0.55929931719428927</v>
      </c>
    </row>
    <row r="122" spans="1:26" s="24" customFormat="1" hidden="1" outlineLevel="1" x14ac:dyDescent="0.25">
      <c r="A122" s="51"/>
      <c r="B122" s="11" t="str">
        <f>CONCATENATE("          ", "9150", " - ", "MISC. INCOME")</f>
        <v xml:space="preserve">          9150 - MISC. INCOME</v>
      </c>
      <c r="C122" s="11"/>
      <c r="D122" s="2">
        <f t="shared" ref="D122:D123" si="110">0</f>
        <v>0</v>
      </c>
      <c r="E122" s="2"/>
      <c r="F122" s="22">
        <f t="shared" si="102"/>
        <v>0</v>
      </c>
      <c r="G122" s="2"/>
      <c r="H122" s="2">
        <v>3180</v>
      </c>
      <c r="I122" s="2"/>
      <c r="J122" s="22">
        <f t="shared" si="103"/>
        <v>5.2291536828534737E-3</v>
      </c>
      <c r="K122" s="2"/>
      <c r="L122" s="2">
        <f t="shared" si="104"/>
        <v>-3180</v>
      </c>
      <c r="M122" s="2"/>
      <c r="N122" s="22">
        <f t="shared" si="105"/>
        <v>-1</v>
      </c>
      <c r="O122" s="11"/>
      <c r="P122" s="2">
        <f>--1728.05</f>
        <v>1728.05</v>
      </c>
      <c r="Q122" s="2"/>
      <c r="R122" s="22">
        <f t="shared" si="106"/>
        <v>1.5917019755452753E-3</v>
      </c>
      <c r="S122" s="2"/>
      <c r="T122" s="2">
        <v>16672</v>
      </c>
      <c r="U122" s="2"/>
      <c r="V122" s="22">
        <f t="shared" si="107"/>
        <v>5.9359626695169162E-3</v>
      </c>
      <c r="W122" s="2"/>
      <c r="X122" s="2">
        <f t="shared" si="108"/>
        <v>-14943.95</v>
      </c>
      <c r="Y122" s="2"/>
      <c r="Z122" s="22">
        <f t="shared" si="109"/>
        <v>-0.89635016794625721</v>
      </c>
    </row>
    <row r="123" spans="1:26" s="24" customFormat="1" hidden="1" outlineLevel="1" x14ac:dyDescent="0.25">
      <c r="A123" s="51"/>
      <c r="B123" s="11" t="str">
        <f>CONCATENATE("          ", "9151", " - ", "MISC. INCOME")</f>
        <v xml:space="preserve">          9151 - MISC. INCOME</v>
      </c>
      <c r="C123" s="11"/>
      <c r="D123" s="2">
        <f t="shared" si="110"/>
        <v>0</v>
      </c>
      <c r="E123" s="2"/>
      <c r="F123" s="22">
        <f t="shared" si="102"/>
        <v>0</v>
      </c>
      <c r="G123" s="2"/>
      <c r="H123" s="2">
        <v>1686</v>
      </c>
      <c r="I123" s="2"/>
      <c r="J123" s="22">
        <f t="shared" si="103"/>
        <v>2.7724380846826909E-3</v>
      </c>
      <c r="K123" s="2"/>
      <c r="L123" s="2">
        <f t="shared" si="104"/>
        <v>-1686</v>
      </c>
      <c r="M123" s="2"/>
      <c r="N123" s="22">
        <f t="shared" si="105"/>
        <v>-1</v>
      </c>
      <c r="O123" s="11"/>
      <c r="P123" s="2">
        <f>0</f>
        <v>0</v>
      </c>
      <c r="Q123" s="2"/>
      <c r="R123" s="22">
        <f t="shared" si="106"/>
        <v>0</v>
      </c>
      <c r="S123" s="2"/>
      <c r="T123" s="2">
        <v>15473</v>
      </c>
      <c r="U123" s="2"/>
      <c r="V123" s="22">
        <f t="shared" si="107"/>
        <v>5.5090661219670848E-3</v>
      </c>
      <c r="W123" s="2"/>
      <c r="X123" s="2">
        <f t="shared" si="108"/>
        <v>-15473</v>
      </c>
      <c r="Y123" s="2"/>
      <c r="Z123" s="22">
        <f t="shared" si="109"/>
        <v>-1</v>
      </c>
    </row>
    <row r="124" spans="1:26" s="24" customFormat="1" hidden="1" outlineLevel="1" x14ac:dyDescent="0.25">
      <c r="A124" s="51"/>
      <c r="B124" s="11" t="str">
        <f>CONCATENATE("          ", "9160", " - ", "MISC. INCOME")</f>
        <v xml:space="preserve">          9160 - MISC. INCOME</v>
      </c>
      <c r="C124" s="11"/>
      <c r="D124" s="2">
        <f>--364.79</f>
        <v>364.79</v>
      </c>
      <c r="E124" s="2"/>
      <c r="F124" s="22">
        <f t="shared" si="102"/>
        <v>2.7097090392443927E-3</v>
      </c>
      <c r="G124" s="2"/>
      <c r="H124" s="2">
        <v>1184</v>
      </c>
      <c r="I124" s="2"/>
      <c r="J124" s="22">
        <f t="shared" si="103"/>
        <v>1.9469553334900984E-3</v>
      </c>
      <c r="K124" s="2"/>
      <c r="L124" s="2">
        <f t="shared" si="104"/>
        <v>-819.21</v>
      </c>
      <c r="M124" s="2"/>
      <c r="N124" s="22">
        <f t="shared" si="105"/>
        <v>-0.69190033783783789</v>
      </c>
      <c r="O124" s="11"/>
      <c r="P124" s="2">
        <f>--12882.96</f>
        <v>12882.96</v>
      </c>
      <c r="Q124" s="2"/>
      <c r="R124" s="22">
        <f t="shared" si="106"/>
        <v>1.1866458078684505E-2</v>
      </c>
      <c r="S124" s="2"/>
      <c r="T124" s="2">
        <v>8130</v>
      </c>
      <c r="U124" s="2"/>
      <c r="V124" s="22">
        <f t="shared" si="107"/>
        <v>2.8946363065722484E-3</v>
      </c>
      <c r="W124" s="2"/>
      <c r="X124" s="2">
        <f t="shared" si="108"/>
        <v>4752.9599999999991</v>
      </c>
      <c r="Y124" s="2"/>
      <c r="Z124" s="22">
        <f t="shared" si="109"/>
        <v>0.58461992619926184</v>
      </c>
    </row>
    <row r="125" spans="1:26" s="24" customFormat="1" hidden="1" outlineLevel="1" x14ac:dyDescent="0.25">
      <c r="A125" s="51"/>
      <c r="B125" s="11" t="str">
        <f>CONCATENATE("          ", "9165", " - ", "OTHER INCOME")</f>
        <v xml:space="preserve">          9165 - OTHER INCOME</v>
      </c>
      <c r="C125" s="11"/>
      <c r="D125" s="2">
        <f>--1036.09</f>
        <v>1036.0899999999999</v>
      </c>
      <c r="E125" s="2"/>
      <c r="F125" s="22">
        <f t="shared" si="102"/>
        <v>7.6962154622405281E-3</v>
      </c>
      <c r="G125" s="2"/>
      <c r="H125" s="2"/>
      <c r="I125" s="2"/>
      <c r="J125" s="22">
        <f t="shared" si="103"/>
        <v>0</v>
      </c>
      <c r="K125" s="2"/>
      <c r="L125" s="2">
        <f t="shared" si="104"/>
        <v>1036.0899999999999</v>
      </c>
      <c r="M125" s="2"/>
      <c r="N125" s="22">
        <f t="shared" si="105"/>
        <v>0</v>
      </c>
      <c r="O125" s="11"/>
      <c r="P125" s="2">
        <f>--3138.21</f>
        <v>3138.21</v>
      </c>
      <c r="Q125" s="2"/>
      <c r="R125" s="22">
        <f t="shared" si="106"/>
        <v>2.8905963697091739E-3</v>
      </c>
      <c r="S125" s="2"/>
      <c r="T125" s="2"/>
      <c r="U125" s="2"/>
      <c r="V125" s="22">
        <f t="shared" si="107"/>
        <v>0</v>
      </c>
      <c r="W125" s="2"/>
      <c r="X125" s="2">
        <f t="shared" si="108"/>
        <v>3138.21</v>
      </c>
      <c r="Y125" s="2"/>
      <c r="Z125" s="22">
        <f t="shared" si="109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3</v>
      </c>
      <c r="C127" s="25"/>
      <c r="D127" s="19">
        <f>+D27-D29+D121</f>
        <v>-221325.27999999988</v>
      </c>
      <c r="E127" s="13"/>
      <c r="F127" s="21">
        <f>IF(D$12=0,0,D127/D$12)</f>
        <v>-1.6440338601093665</v>
      </c>
      <c r="G127" s="13"/>
      <c r="H127" s="19">
        <f>+H27-H29+H121</f>
        <v>-75916.147469955729</v>
      </c>
      <c r="I127" s="13"/>
      <c r="J127" s="21">
        <f>IF(H$12=0,0,H127/H$12)</f>
        <v>-0.12483559815426616</v>
      </c>
      <c r="K127" s="15"/>
      <c r="L127" s="19">
        <f>+D127-H127</f>
        <v>-145409.13253004415</v>
      </c>
      <c r="M127" s="15"/>
      <c r="N127" s="21">
        <f>IF(H127=0,0,L127/H127)</f>
        <v>1.9153913544887231</v>
      </c>
      <c r="O127" s="26"/>
      <c r="P127" s="19">
        <f>+P27-P29+P121</f>
        <v>-1929158.4100000004</v>
      </c>
      <c r="Q127" s="13"/>
      <c r="R127" s="21">
        <f>IF(P$12=0,0,P127/P$12)</f>
        <v>-1.7769423641311204</v>
      </c>
      <c r="S127" s="13"/>
      <c r="T127" s="19">
        <f>+T27-T29+T121</f>
        <v>-1717903.9098730586</v>
      </c>
      <c r="U127" s="13"/>
      <c r="V127" s="21">
        <f>IF(T$12=0,0,T127/T$12)</f>
        <v>-0.61164908102349014</v>
      </c>
      <c r="W127" s="15"/>
      <c r="X127" s="19">
        <f>+P127-T127</f>
        <v>-211254.50012694183</v>
      </c>
      <c r="Y127" s="15"/>
      <c r="Z127" s="21">
        <f>IF(T127=0,0,X127/T127)</f>
        <v>0.12297224478786599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42361.219999999994</v>
      </c>
      <c r="E129" s="4"/>
      <c r="F129" s="12">
        <f>IF(D$12=0,0,D129/D$12)</f>
        <v>0.31466482290474063</v>
      </c>
      <c r="G129" s="4"/>
      <c r="H129" s="4">
        <v>101146</v>
      </c>
      <c r="I129" s="4"/>
      <c r="J129" s="12">
        <f>IF(H$12=0,0,H129/H$12)</f>
        <v>0.16632326364965327</v>
      </c>
      <c r="K129" s="4"/>
      <c r="L129" s="4">
        <f>+D129-H129</f>
        <v>-58784.780000000006</v>
      </c>
      <c r="M129" s="4"/>
      <c r="N129" s="12">
        <f>IF(H129=0,0,L129/H129)</f>
        <v>-0.58118739248215456</v>
      </c>
      <c r="O129" s="10"/>
      <c r="P129" s="4">
        <v>214999.88</v>
      </c>
      <c r="Q129" s="4"/>
      <c r="R129" s="12">
        <f>IF(P$12=0,0,P129/P$12)</f>
        <v>0.19803578237782304</v>
      </c>
      <c r="S129" s="4"/>
      <c r="T129" s="4">
        <v>483027</v>
      </c>
      <c r="U129" s="4"/>
      <c r="V129" s="12">
        <f>IF(T$12=0,0,T129/T$12)</f>
        <v>0.17197878121213697</v>
      </c>
      <c r="W129" s="4"/>
      <c r="X129" s="4">
        <f>+P129-T129</f>
        <v>-268027.12</v>
      </c>
      <c r="Y129" s="4"/>
      <c r="Z129" s="12">
        <f>IF(T129=0,0,X129/T129)</f>
        <v>-0.55489055477230054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4</v>
      </c>
      <c r="C131" s="25"/>
      <c r="D131" s="34">
        <f>+D127-D129</f>
        <v>-263686.49999999988</v>
      </c>
      <c r="E131" s="13"/>
      <c r="F131" s="30">
        <f>IF(D$12=0,0,D131/D$12)</f>
        <v>-1.9586986830141071</v>
      </c>
      <c r="G131" s="13"/>
      <c r="H131" s="34">
        <f>+H127-H129</f>
        <v>-177062.14746995573</v>
      </c>
      <c r="I131" s="13"/>
      <c r="J131" s="30">
        <f>IF(H$12=0,0,H131/H$12)</f>
        <v>-0.29115886180391942</v>
      </c>
      <c r="K131" s="15"/>
      <c r="L131" s="34">
        <f>D131-H131</f>
        <v>-86624.352530044154</v>
      </c>
      <c r="M131" s="15"/>
      <c r="N131" s="30">
        <f>IF(H131=0,0,L131/H131)</f>
        <v>0.48923134485727815</v>
      </c>
      <c r="O131" s="26"/>
      <c r="P131" s="34">
        <f>+P127-P129</f>
        <v>-2144158.2900000005</v>
      </c>
      <c r="Q131" s="13"/>
      <c r="R131" s="30">
        <f>IF(P$12=0,0,P131/P$12)</f>
        <v>-1.9749781465089435</v>
      </c>
      <c r="S131" s="13"/>
      <c r="T131" s="34">
        <f>+T127-T129</f>
        <v>-2200930.9098730586</v>
      </c>
      <c r="U131" s="13"/>
      <c r="V131" s="30">
        <f>IF(T$12=0,0,T131/T$12)</f>
        <v>-0.78362786223562719</v>
      </c>
      <c r="W131" s="15"/>
      <c r="X131" s="34">
        <f>P131-T131</f>
        <v>56772.619873058051</v>
      </c>
      <c r="Y131" s="15"/>
      <c r="Z131" s="30">
        <f>IF(T131=0,0,X131/T131)</f>
        <v>-2.5794821463220072E-2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5</v>
      </c>
      <c r="C134" s="25"/>
      <c r="D134" s="35">
        <f>SUM(D131:D133)</f>
        <v>-263686.49999999988</v>
      </c>
      <c r="E134" s="13"/>
      <c r="F134" s="31">
        <f>IF(D$12=0,0,D134/D$12)</f>
        <v>-1.9586986830141071</v>
      </c>
      <c r="G134" s="13"/>
      <c r="H134" s="35">
        <f>SUM(H131:H133)</f>
        <v>-177062.14746995573</v>
      </c>
      <c r="I134" s="13"/>
      <c r="J134" s="31">
        <f>IF(H$12=0,0,H134/H$12)</f>
        <v>-0.29115886180391942</v>
      </c>
      <c r="K134" s="15"/>
      <c r="L134" s="35">
        <f>+D134-H134</f>
        <v>-86624.352530044154</v>
      </c>
      <c r="M134" s="15"/>
      <c r="N134" s="31">
        <f>IF(H134=0,0,L134/H134)</f>
        <v>0.48923134485727815</v>
      </c>
      <c r="O134" s="26"/>
      <c r="P134" s="35">
        <f>SUM(P131:P133)</f>
        <v>-2144158.2900000005</v>
      </c>
      <c r="Q134" s="13"/>
      <c r="R134" s="31">
        <f>IF(P$12=0,0,P134/P$12)</f>
        <v>-1.9749781465089435</v>
      </c>
      <c r="S134" s="13"/>
      <c r="T134" s="35">
        <f>SUM(T131:T133)</f>
        <v>-2200930.9098730586</v>
      </c>
      <c r="U134" s="13"/>
      <c r="V134" s="31">
        <f>IF(T$12=0,0,T134/T$12)</f>
        <v>-0.78362786223562719</v>
      </c>
      <c r="W134" s="15"/>
      <c r="X134" s="35">
        <f>+P134-T134</f>
        <v>56772.619873058051</v>
      </c>
      <c r="Y134" s="15"/>
      <c r="Z134" s="31">
        <f>IF(T134=0,0,X134/T134)</f>
        <v>-2.5794821463220072E-2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3">
        <v>44267.671462615741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62" t="s">
        <v>314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7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50114.95</v>
      </c>
      <c r="E12" s="4"/>
      <c r="F12" s="12"/>
      <c r="G12" s="4"/>
      <c r="H12" s="4">
        <f>SUM(OSRRefH13x_0)</f>
        <v>166428</v>
      </c>
      <c r="I12" s="4"/>
      <c r="J12" s="12"/>
      <c r="K12" s="4"/>
      <c r="L12" s="4">
        <f t="shared" ref="L12:L21" si="0">+D12-H12</f>
        <v>-116313.05</v>
      </c>
      <c r="M12" s="4"/>
      <c r="N12" s="12">
        <f t="shared" ref="N12:N21" si="1">IF(H12=0,0,L12/H12)</f>
        <v>-0.69887909486384503</v>
      </c>
      <c r="O12" s="10"/>
      <c r="P12" s="4">
        <f>SUM(OSRRefP13x_0)</f>
        <v>328988.88</v>
      </c>
      <c r="Q12" s="4"/>
      <c r="R12" s="12"/>
      <c r="S12" s="4"/>
      <c r="T12" s="4">
        <f>SUM(OSRRefT13x_0)</f>
        <v>521691</v>
      </c>
      <c r="U12" s="4"/>
      <c r="V12" s="12"/>
      <c r="W12" s="4"/>
      <c r="X12" s="4">
        <f t="shared" ref="X12:X21" si="2">+P12-T12</f>
        <v>-192702.12</v>
      </c>
      <c r="Y12" s="4"/>
      <c r="Z12" s="12">
        <f t="shared" ref="Z12:Z21" si="3">IF(T12=0,0,X12/T12)</f>
        <v>-0.36937980528703773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24714</v>
      </c>
      <c r="I13" s="2"/>
      <c r="J13" s="22"/>
      <c r="K13" s="2"/>
      <c r="L13" s="2">
        <f t="shared" si="0"/>
        <v>-24714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80508</v>
      </c>
      <c r="U13" s="2"/>
      <c r="V13" s="22"/>
      <c r="W13" s="2"/>
      <c r="X13" s="2">
        <f t="shared" si="2"/>
        <v>-80508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--22964.48</f>
        <v>22964.48</v>
      </c>
      <c r="Q15" s="2"/>
      <c r="R15" s="22"/>
      <c r="S15" s="2"/>
      <c r="T15" s="2"/>
      <c r="U15" s="2"/>
      <c r="V15" s="22"/>
      <c r="W15" s="2"/>
      <c r="X15" s="2">
        <f t="shared" si="2"/>
        <v>22964.48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"4052", " - ", "TAXABLE SALES-FOOD")</f>
        <v xml:space="preserve">          4052 - TAXABLE SALES-FOOD</v>
      </c>
      <c r="C16" s="11"/>
      <c r="D16" s="2">
        <f>--49980.95</f>
        <v>49980.95</v>
      </c>
      <c r="E16" s="2"/>
      <c r="F16" s="22"/>
      <c r="G16" s="2"/>
      <c r="H16" s="2"/>
      <c r="I16" s="2"/>
      <c r="J16" s="22"/>
      <c r="K16" s="2"/>
      <c r="L16" s="2">
        <f t="shared" si="0"/>
        <v>49980.95</v>
      </c>
      <c r="M16" s="2"/>
      <c r="N16" s="22">
        <f t="shared" si="1"/>
        <v>0</v>
      </c>
      <c r="O16" s="11"/>
      <c r="P16" s="2">
        <f>--280157.8</f>
        <v>280157.8</v>
      </c>
      <c r="Q16" s="2"/>
      <c r="R16" s="22"/>
      <c r="S16" s="2"/>
      <c r="T16" s="2"/>
      <c r="U16" s="2"/>
      <c r="V16" s="22"/>
      <c r="W16" s="2"/>
      <c r="X16" s="2">
        <f t="shared" si="2"/>
        <v>280157.8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20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141714</v>
      </c>
      <c r="I18" s="2"/>
      <c r="J18" s="22"/>
      <c r="K18" s="2"/>
      <c r="L18" s="2">
        <f t="shared" si="0"/>
        <v>-141714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441183</v>
      </c>
      <c r="U18" s="2"/>
      <c r="V18" s="22"/>
      <c r="W18" s="2"/>
      <c r="X18" s="2">
        <f t="shared" si="2"/>
        <v>-441183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--2031.88</f>
        <v>2031.88</v>
      </c>
      <c r="Q19" s="2"/>
      <c r="R19" s="22"/>
      <c r="S19" s="2"/>
      <c r="T19" s="2"/>
      <c r="U19" s="2"/>
      <c r="V19" s="22"/>
      <c r="W19" s="2"/>
      <c r="X19" s="2">
        <f t="shared" si="2"/>
        <v>2031.88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5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--22171.22</f>
        <v>22171.22</v>
      </c>
      <c r="Q20" s="2"/>
      <c r="R20" s="22"/>
      <c r="S20" s="2"/>
      <c r="T20" s="2"/>
      <c r="U20" s="2"/>
      <c r="V20" s="22"/>
      <c r="W20" s="2"/>
      <c r="X20" s="2">
        <f t="shared" si="2"/>
        <v>22171.22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"4153", " - ", "NON-TAXABLE SALES-FOOD")</f>
        <v xml:space="preserve">          4153 - NON-TAXABLE SALES-FOOD</v>
      </c>
      <c r="C21" s="11"/>
      <c r="D21" s="2">
        <f>--134</f>
        <v>134</v>
      </c>
      <c r="E21" s="2"/>
      <c r="F21" s="22"/>
      <c r="G21" s="2"/>
      <c r="H21" s="2"/>
      <c r="I21" s="2"/>
      <c r="J21" s="22"/>
      <c r="K21" s="2"/>
      <c r="L21" s="2">
        <f t="shared" si="0"/>
        <v>134</v>
      </c>
      <c r="M21" s="2"/>
      <c r="N21" s="22">
        <f t="shared" si="1"/>
        <v>0</v>
      </c>
      <c r="O21" s="11"/>
      <c r="P21" s="2">
        <f>--244</f>
        <v>244</v>
      </c>
      <c r="Q21" s="2"/>
      <c r="R21" s="22"/>
      <c r="S21" s="2"/>
      <c r="T21" s="2"/>
      <c r="U21" s="2"/>
      <c r="V21" s="22"/>
      <c r="W21" s="2"/>
      <c r="X21" s="2">
        <f t="shared" si="2"/>
        <v>244</v>
      </c>
      <c r="Y21" s="2"/>
      <c r="Z21" s="22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14829.89</v>
      </c>
      <c r="E23" s="4"/>
      <c r="F23" s="12">
        <f t="shared" ref="F23:F26" si="6">IF(D$12=0,0,D23/D$12)</f>
        <v>0.29591748570037485</v>
      </c>
      <c r="G23" s="4"/>
      <c r="H23" s="4">
        <f>SUM(OSRRefH16x_0)</f>
        <v>72001</v>
      </c>
      <c r="I23" s="4"/>
      <c r="J23" s="12">
        <f t="shared" ref="J23:J26" si="7">IF(H$12=0,0,H23/H$12)</f>
        <v>0.43262551974427382</v>
      </c>
      <c r="K23" s="4"/>
      <c r="L23" s="4">
        <f t="shared" ref="L23:L26" si="8">+D23-H23</f>
        <v>-57171.11</v>
      </c>
      <c r="M23" s="4"/>
      <c r="N23" s="12">
        <f t="shared" ref="N23:N26" si="9">IF(H23=0,0,L23/H23)</f>
        <v>-0.79403216621991357</v>
      </c>
      <c r="O23" s="10"/>
      <c r="P23" s="4">
        <f>SUM(OSRRefP16x_0)</f>
        <v>43878.200000000004</v>
      </c>
      <c r="Q23" s="4"/>
      <c r="R23" s="12">
        <f t="shared" ref="R23:R26" si="10">IF(P$12=0,0,P23/P$12)</f>
        <v>0.13337289698059096</v>
      </c>
      <c r="S23" s="4"/>
      <c r="T23" s="4">
        <f>SUM(OSRRefT16x_0)</f>
        <v>214870</v>
      </c>
      <c r="U23" s="4"/>
      <c r="V23" s="12">
        <f t="shared" ref="V23:V26" si="11">IF(T$12=0,0,T23/T$12)</f>
        <v>0.41187216187359948</v>
      </c>
      <c r="W23" s="4"/>
      <c r="X23" s="4">
        <f t="shared" ref="X23:X26" si="12">+P23-T23</f>
        <v>-170991.8</v>
      </c>
      <c r="Y23" s="4"/>
      <c r="Z23" s="12">
        <f t="shared" ref="Z23:Z26" si="13">IF(T23=0,0,X23/T23)</f>
        <v>-0.79579187415646668</v>
      </c>
    </row>
    <row r="24" spans="1:26" s="24" customFormat="1" hidden="1" outlineLevel="1" x14ac:dyDescent="0.25">
      <c r="A24" s="51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22">
        <f t="shared" si="6"/>
        <v>0</v>
      </c>
      <c r="G24" s="2"/>
      <c r="H24" s="2">
        <v>72001</v>
      </c>
      <c r="I24" s="2"/>
      <c r="J24" s="22">
        <f t="shared" si="7"/>
        <v>0.43262551974427382</v>
      </c>
      <c r="K24" s="2"/>
      <c r="L24" s="2">
        <f t="shared" si="8"/>
        <v>-72001</v>
      </c>
      <c r="M24" s="2"/>
      <c r="N24" s="22">
        <f t="shared" si="9"/>
        <v>-1</v>
      </c>
      <c r="O24" s="11"/>
      <c r="P24" s="2"/>
      <c r="Q24" s="2"/>
      <c r="R24" s="22">
        <f t="shared" si="10"/>
        <v>0</v>
      </c>
      <c r="S24" s="2"/>
      <c r="T24" s="2">
        <v>214870</v>
      </c>
      <c r="U24" s="2"/>
      <c r="V24" s="22">
        <f t="shared" si="11"/>
        <v>0.41187216187359948</v>
      </c>
      <c r="W24" s="2"/>
      <c r="X24" s="2">
        <f t="shared" si="12"/>
        <v>-214870</v>
      </c>
      <c r="Y24" s="2"/>
      <c r="Z24" s="22">
        <f t="shared" si="13"/>
        <v>-1</v>
      </c>
    </row>
    <row r="25" spans="1:26" s="24" customFormat="1" hidden="1" outlineLevel="1" x14ac:dyDescent="0.25">
      <c r="A25" s="51"/>
      <c r="B25" s="11" t="str">
        <f>CONCATENATE("          ", "5053", " - ", "PURCHASES @ COST-FOOD")</f>
        <v xml:space="preserve">          5053 - PURCHASES @ COST-FOOD</v>
      </c>
      <c r="C25" s="11"/>
      <c r="D25" s="2">
        <v>-4739.1099999999997</v>
      </c>
      <c r="E25" s="2"/>
      <c r="F25" s="22">
        <f t="shared" si="6"/>
        <v>-9.4564795535064888E-2</v>
      </c>
      <c r="G25" s="2"/>
      <c r="H25" s="2"/>
      <c r="I25" s="2"/>
      <c r="J25" s="22">
        <f t="shared" si="7"/>
        <v>0</v>
      </c>
      <c r="K25" s="2"/>
      <c r="L25" s="2">
        <f t="shared" si="8"/>
        <v>-4739.1099999999997</v>
      </c>
      <c r="M25" s="2"/>
      <c r="N25" s="22">
        <f t="shared" si="9"/>
        <v>0</v>
      </c>
      <c r="O25" s="11"/>
      <c r="P25" s="2">
        <v>7282.21</v>
      </c>
      <c r="Q25" s="2"/>
      <c r="R25" s="22">
        <f t="shared" si="10"/>
        <v>2.2135125053466851E-2</v>
      </c>
      <c r="S25" s="2"/>
      <c r="T25" s="2"/>
      <c r="U25" s="2"/>
      <c r="V25" s="22">
        <f t="shared" si="11"/>
        <v>0</v>
      </c>
      <c r="W25" s="2"/>
      <c r="X25" s="2">
        <f t="shared" si="12"/>
        <v>7282.21</v>
      </c>
      <c r="Y25" s="2"/>
      <c r="Z25" s="22">
        <f t="shared" si="13"/>
        <v>0</v>
      </c>
    </row>
    <row r="26" spans="1:26" s="24" customFormat="1" hidden="1" outlineLevel="1" x14ac:dyDescent="0.25">
      <c r="A26" s="51"/>
      <c r="B26" s="11" t="str">
        <f>CONCATENATE("          ", "5059", " - ", "PURCHASES @ COST-FOOD")</f>
        <v xml:space="preserve">          5059 - PURCHASES @ COST-FOOD</v>
      </c>
      <c r="C26" s="11"/>
      <c r="D26" s="2">
        <v>19569</v>
      </c>
      <c r="E26" s="2"/>
      <c r="F26" s="22">
        <f t="shared" si="6"/>
        <v>0.39048228123543977</v>
      </c>
      <c r="G26" s="2"/>
      <c r="H26" s="2"/>
      <c r="I26" s="2"/>
      <c r="J26" s="22">
        <f t="shared" si="7"/>
        <v>0</v>
      </c>
      <c r="K26" s="2"/>
      <c r="L26" s="2">
        <f t="shared" si="8"/>
        <v>19569</v>
      </c>
      <c r="M26" s="2"/>
      <c r="N26" s="22">
        <f t="shared" si="9"/>
        <v>0</v>
      </c>
      <c r="O26" s="11"/>
      <c r="P26" s="2">
        <v>36595.990000000005</v>
      </c>
      <c r="Q26" s="2"/>
      <c r="R26" s="22">
        <f t="shared" si="10"/>
        <v>0.11123777192712411</v>
      </c>
      <c r="S26" s="2"/>
      <c r="T26" s="2"/>
      <c r="U26" s="2"/>
      <c r="V26" s="22">
        <f t="shared" si="11"/>
        <v>0</v>
      </c>
      <c r="W26" s="2"/>
      <c r="X26" s="2">
        <f t="shared" si="12"/>
        <v>36595.990000000005</v>
      </c>
      <c r="Y26" s="2"/>
      <c r="Z26" s="22">
        <f t="shared" si="13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19">
        <f>D12-D23</f>
        <v>35285.06</v>
      </c>
      <c r="E28" s="13"/>
      <c r="F28" s="21">
        <f>IF(D$12=0,0,D28/D$12)</f>
        <v>0.70408251429962521</v>
      </c>
      <c r="G28" s="13"/>
      <c r="H28" s="19">
        <f>H12-H23</f>
        <v>94427</v>
      </c>
      <c r="I28" s="13"/>
      <c r="J28" s="21">
        <f>IF(H$12=0,0,H28/H$12)</f>
        <v>0.56737448025572623</v>
      </c>
      <c r="K28" s="15"/>
      <c r="L28" s="19">
        <f>+D28-H28</f>
        <v>-59141.94</v>
      </c>
      <c r="M28" s="15"/>
      <c r="N28" s="21">
        <f>IF(H28=0,0,L28/H28)</f>
        <v>-0.62632446228303351</v>
      </c>
      <c r="O28" s="26"/>
      <c r="P28" s="19">
        <f>P12-P23</f>
        <v>285110.68</v>
      </c>
      <c r="Q28" s="13"/>
      <c r="R28" s="21">
        <f>IF(P$12=0,0,P28/P$12)</f>
        <v>0.86662710301940904</v>
      </c>
      <c r="S28" s="13"/>
      <c r="T28" s="19">
        <f>T12-T23</f>
        <v>306821</v>
      </c>
      <c r="U28" s="13"/>
      <c r="V28" s="21">
        <f>IF(T$12=0,0,T28/T$12)</f>
        <v>0.58812783812640046</v>
      </c>
      <c r="W28" s="15"/>
      <c r="X28" s="19">
        <f>+P28-T28</f>
        <v>-21710.320000000007</v>
      </c>
      <c r="Y28" s="15"/>
      <c r="Z28" s="21">
        <f>IF(T28=0,0,X28/T28)</f>
        <v>-7.075891154777543E-2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123001.63</v>
      </c>
      <c r="E30" s="20"/>
      <c r="F30" s="33">
        <f t="shared" ref="F30:F40" si="14">IF(D$12=0,0,D30/D$12)</f>
        <v>2.4543899574877361</v>
      </c>
      <c r="G30" s="20"/>
      <c r="H30" s="20">
        <f>SUM(OSRRefH22x_0)</f>
        <v>181944.5338169795</v>
      </c>
      <c r="I30" s="20"/>
      <c r="J30" s="33">
        <f t="shared" ref="J30:J40" si="15">IF(H$12=0,0,H30/H$12)</f>
        <v>1.0932327121456695</v>
      </c>
      <c r="K30" s="4"/>
      <c r="L30" s="20">
        <f t="shared" ref="L30:L40" si="16">+D30-H30</f>
        <v>-58942.903816979495</v>
      </c>
      <c r="M30" s="4"/>
      <c r="N30" s="33">
        <f t="shared" ref="N30:N40" si="17">IF(H30=0,0,L30/H30)</f>
        <v>-0.32396083894595573</v>
      </c>
      <c r="O30" s="10"/>
      <c r="P30" s="20">
        <f>SUM(OSRRefP22x_0)</f>
        <v>1097714.67</v>
      </c>
      <c r="Q30" s="20"/>
      <c r="R30" s="33">
        <f t="shared" ref="R30:R40" si="18">IF(P$12=0,0,P30/P$12)</f>
        <v>3.3366315299167555</v>
      </c>
      <c r="S30" s="20"/>
      <c r="T30" s="20">
        <f>SUM(OSRRefT22x_0)</f>
        <v>1315734.5987145551</v>
      </c>
      <c r="U30" s="20"/>
      <c r="V30" s="33">
        <f t="shared" ref="V30:V40" si="19">IF(T$12=0,0,T30/T$12)</f>
        <v>2.5220573073228314</v>
      </c>
      <c r="W30" s="4"/>
      <c r="X30" s="20">
        <f t="shared" ref="X30:X40" si="20">+P30-T30</f>
        <v>-218019.92871455522</v>
      </c>
      <c r="Y30" s="4"/>
      <c r="Z30" s="33">
        <f t="shared" ref="Z30:Z40" si="21">IF(T30=0,0,X30/T30)</f>
        <v>-0.16570205642350372</v>
      </c>
    </row>
    <row r="31" spans="1:26" s="28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18076.13</v>
      </c>
      <c r="E31" s="1"/>
      <c r="F31" s="5">
        <f t="shared" si="14"/>
        <v>0.36069336595167711</v>
      </c>
      <c r="G31" s="1"/>
      <c r="H31" s="1">
        <f>SUM(OSRRefH22_0x_0)</f>
        <v>21719.145591338471</v>
      </c>
      <c r="I31" s="1"/>
      <c r="J31" s="5">
        <f t="shared" si="15"/>
        <v>0.13050175205697642</v>
      </c>
      <c r="K31" s="1"/>
      <c r="L31" s="1">
        <f t="shared" si="16"/>
        <v>-3643.0155913384697</v>
      </c>
      <c r="M31" s="1"/>
      <c r="N31" s="5">
        <f t="shared" si="17"/>
        <v>-0.16773291453929445</v>
      </c>
      <c r="O31" s="14"/>
      <c r="P31" s="1">
        <f>SUM(OSRRefP22_0x_0)</f>
        <v>203095.44999999998</v>
      </c>
      <c r="Q31" s="1"/>
      <c r="R31" s="5">
        <f t="shared" si="18"/>
        <v>0.61733226363152449</v>
      </c>
      <c r="S31" s="1"/>
      <c r="T31" s="1">
        <f>SUM(OSRRefT22_0x_0)</f>
        <v>171794.52804019619</v>
      </c>
      <c r="U31" s="1"/>
      <c r="V31" s="5">
        <f t="shared" si="19"/>
        <v>0.32930322363275616</v>
      </c>
      <c r="W31" s="1"/>
      <c r="X31" s="1">
        <f t="shared" si="20"/>
        <v>31300.921959803789</v>
      </c>
      <c r="Y31" s="1"/>
      <c r="Z31" s="5">
        <f t="shared" si="21"/>
        <v>0.18219976105688332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7">
        <v>2064.8200000000002</v>
      </c>
      <c r="E32" s="2"/>
      <c r="F32" s="6">
        <f t="shared" si="14"/>
        <v>4.1201677343786637E-2</v>
      </c>
      <c r="G32" s="2"/>
      <c r="H32" s="7">
        <v>2690.036446569231</v>
      </c>
      <c r="I32" s="2"/>
      <c r="J32" s="6">
        <f t="shared" si="15"/>
        <v>1.6163364617547714E-2</v>
      </c>
      <c r="K32" s="2"/>
      <c r="L32" s="7">
        <f t="shared" si="16"/>
        <v>-625.21644656923081</v>
      </c>
      <c r="M32" s="2"/>
      <c r="N32" s="6">
        <f t="shared" si="17"/>
        <v>-0.2324193218149917</v>
      </c>
      <c r="O32" s="11"/>
      <c r="P32" s="7">
        <v>23650.09</v>
      </c>
      <c r="Q32" s="2"/>
      <c r="R32" s="6">
        <f t="shared" si="18"/>
        <v>7.1887201780193907E-2</v>
      </c>
      <c r="S32" s="2"/>
      <c r="T32" s="7">
        <v>21777.477378080774</v>
      </c>
      <c r="U32" s="2"/>
      <c r="V32" s="6">
        <f t="shared" si="19"/>
        <v>4.174401586011791E-2</v>
      </c>
      <c r="W32" s="2"/>
      <c r="X32" s="7">
        <f t="shared" si="20"/>
        <v>1872.6126219192265</v>
      </c>
      <c r="Y32" s="2"/>
      <c r="Z32" s="6">
        <f t="shared" si="21"/>
        <v>8.5988500385449959E-2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7">
        <v>629.72</v>
      </c>
      <c r="E33" s="2"/>
      <c r="F33" s="6">
        <f t="shared" si="14"/>
        <v>1.25655118881691E-2</v>
      </c>
      <c r="G33" s="2"/>
      <c r="H33" s="7">
        <v>1449.7420675384615</v>
      </c>
      <c r="I33" s="2"/>
      <c r="J33" s="6">
        <f t="shared" si="15"/>
        <v>8.7109264519099044E-3</v>
      </c>
      <c r="K33" s="2"/>
      <c r="L33" s="7">
        <f t="shared" si="16"/>
        <v>-820.02206753846144</v>
      </c>
      <c r="M33" s="2"/>
      <c r="N33" s="6">
        <f t="shared" si="17"/>
        <v>-0.56563307770380777</v>
      </c>
      <c r="O33" s="11"/>
      <c r="P33" s="7">
        <v>6622.89</v>
      </c>
      <c r="Q33" s="2"/>
      <c r="R33" s="6">
        <f t="shared" si="18"/>
        <v>2.0131045158729984E-2</v>
      </c>
      <c r="S33" s="2"/>
      <c r="T33" s="7">
        <v>8399.4655049615376</v>
      </c>
      <c r="U33" s="2"/>
      <c r="V33" s="6">
        <f t="shared" si="19"/>
        <v>1.6100460818686803E-2</v>
      </c>
      <c r="W33" s="2"/>
      <c r="X33" s="7">
        <f t="shared" si="20"/>
        <v>-1776.5755049615373</v>
      </c>
      <c r="Y33" s="2"/>
      <c r="Z33" s="6">
        <f t="shared" si="21"/>
        <v>-0.21151054241631445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7">
        <v>8554.93</v>
      </c>
      <c r="E34" s="2"/>
      <c r="F34" s="6">
        <f t="shared" si="14"/>
        <v>0.17070614656903779</v>
      </c>
      <c r="G34" s="2"/>
      <c r="H34" s="7">
        <v>11221.153846153849</v>
      </c>
      <c r="I34" s="2"/>
      <c r="J34" s="6">
        <f t="shared" si="15"/>
        <v>6.7423473490962157E-2</v>
      </c>
      <c r="K34" s="2"/>
      <c r="L34" s="7">
        <f t="shared" si="16"/>
        <v>-2666.2238461538491</v>
      </c>
      <c r="M34" s="2"/>
      <c r="N34" s="6">
        <f t="shared" si="17"/>
        <v>-0.23760692373607559</v>
      </c>
      <c r="O34" s="11"/>
      <c r="P34" s="7">
        <v>96109.430000000008</v>
      </c>
      <c r="Q34" s="2"/>
      <c r="R34" s="6">
        <f t="shared" si="18"/>
        <v>0.29213580106415754</v>
      </c>
      <c r="S34" s="2"/>
      <c r="T34" s="7">
        <v>90853.730769230751</v>
      </c>
      <c r="U34" s="2"/>
      <c r="V34" s="6">
        <f t="shared" si="19"/>
        <v>0.17415238286501156</v>
      </c>
      <c r="W34" s="2"/>
      <c r="X34" s="7">
        <f t="shared" si="20"/>
        <v>5255.6992307692562</v>
      </c>
      <c r="Y34" s="2"/>
      <c r="Z34" s="6">
        <f t="shared" si="21"/>
        <v>5.7847918696027761E-2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7">
        <v>81.3</v>
      </c>
      <c r="E35" s="2"/>
      <c r="F35" s="6">
        <f t="shared" si="14"/>
        <v>1.6222704003495962E-3</v>
      </c>
      <c r="G35" s="2"/>
      <c r="H35" s="7">
        <v>164.05482799999999</v>
      </c>
      <c r="I35" s="2"/>
      <c r="J35" s="6">
        <f t="shared" si="15"/>
        <v>9.8574054846540236E-4</v>
      </c>
      <c r="K35" s="2"/>
      <c r="L35" s="7">
        <f t="shared" si="16"/>
        <v>-82.754827999999989</v>
      </c>
      <c r="M35" s="2"/>
      <c r="N35" s="6">
        <f t="shared" si="17"/>
        <v>-0.50443396886801772</v>
      </c>
      <c r="O35" s="11"/>
      <c r="P35" s="7">
        <v>886.67</v>
      </c>
      <c r="Q35" s="2"/>
      <c r="R35" s="6">
        <f t="shared" si="18"/>
        <v>2.6951366866867959E-3</v>
      </c>
      <c r="S35" s="2"/>
      <c r="T35" s="7">
        <v>1018.3530609999999</v>
      </c>
      <c r="U35" s="2"/>
      <c r="V35" s="6">
        <f t="shared" si="19"/>
        <v>1.952023441079106E-3</v>
      </c>
      <c r="W35" s="2"/>
      <c r="X35" s="7">
        <f t="shared" si="20"/>
        <v>-131.68306099999995</v>
      </c>
      <c r="Y35" s="2"/>
      <c r="Z35" s="6">
        <f t="shared" si="21"/>
        <v>-0.12930982980567676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7">
        <v>2703.34</v>
      </c>
      <c r="E36" s="2"/>
      <c r="F36" s="6">
        <f t="shared" si="14"/>
        <v>5.3942785536052619E-2</v>
      </c>
      <c r="G36" s="2"/>
      <c r="H36" s="7">
        <v>2251.1885261538459</v>
      </c>
      <c r="I36" s="2"/>
      <c r="J36" s="6">
        <f t="shared" si="15"/>
        <v>1.3526501106507594E-2</v>
      </c>
      <c r="K36" s="2"/>
      <c r="L36" s="7">
        <f t="shared" si="16"/>
        <v>452.1514738461542</v>
      </c>
      <c r="M36" s="2"/>
      <c r="N36" s="6">
        <f t="shared" si="17"/>
        <v>0.20085011476966555</v>
      </c>
      <c r="O36" s="11"/>
      <c r="P36" s="7">
        <v>32451.939999999995</v>
      </c>
      <c r="Q36" s="2"/>
      <c r="R36" s="6">
        <f t="shared" si="18"/>
        <v>9.8641449522549191E-2</v>
      </c>
      <c r="S36" s="2"/>
      <c r="T36" s="7">
        <v>19511.864403846157</v>
      </c>
      <c r="U36" s="2"/>
      <c r="V36" s="6">
        <f t="shared" si="19"/>
        <v>3.7401190367183174E-2</v>
      </c>
      <c r="W36" s="2"/>
      <c r="X36" s="7">
        <f t="shared" si="20"/>
        <v>12940.075596153838</v>
      </c>
      <c r="Y36" s="2"/>
      <c r="Z36" s="6">
        <f t="shared" si="21"/>
        <v>0.66319011491301183</v>
      </c>
    </row>
    <row r="37" spans="1:26" s="24" customFormat="1" hidden="1" outlineLevel="2" x14ac:dyDescent="0.25">
      <c r="A37" s="27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4"/>
        <v>0</v>
      </c>
      <c r="G37" s="2"/>
      <c r="H37" s="7">
        <v>0</v>
      </c>
      <c r="I37" s="2"/>
      <c r="J37" s="6">
        <f t="shared" si="15"/>
        <v>0</v>
      </c>
      <c r="K37" s="2"/>
      <c r="L37" s="7">
        <f t="shared" si="16"/>
        <v>0</v>
      </c>
      <c r="M37" s="2"/>
      <c r="N37" s="6">
        <f t="shared" si="17"/>
        <v>0</v>
      </c>
      <c r="O37" s="11"/>
      <c r="P37" s="7"/>
      <c r="Q37" s="2"/>
      <c r="R37" s="6">
        <f t="shared" si="18"/>
        <v>0</v>
      </c>
      <c r="S37" s="2"/>
      <c r="T37" s="7">
        <v>0</v>
      </c>
      <c r="U37" s="2"/>
      <c r="V37" s="6">
        <f t="shared" si="19"/>
        <v>0</v>
      </c>
      <c r="W37" s="2"/>
      <c r="X37" s="7">
        <f t="shared" si="20"/>
        <v>0</v>
      </c>
      <c r="Y37" s="2"/>
      <c r="Z37" s="6">
        <f t="shared" si="21"/>
        <v>0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7">
        <v>2462.92</v>
      </c>
      <c r="E38" s="2"/>
      <c r="F38" s="6">
        <f t="shared" si="14"/>
        <v>4.9145414691623958E-2</v>
      </c>
      <c r="G38" s="2"/>
      <c r="H38" s="7">
        <v>1915.7720769230798</v>
      </c>
      <c r="I38" s="2"/>
      <c r="J38" s="6">
        <f t="shared" si="15"/>
        <v>1.1511116380194917E-2</v>
      </c>
      <c r="K38" s="2"/>
      <c r="L38" s="7">
        <f t="shared" si="16"/>
        <v>547.14792307692028</v>
      </c>
      <c r="M38" s="2"/>
      <c r="N38" s="6">
        <f t="shared" si="17"/>
        <v>0.28560178408889547</v>
      </c>
      <c r="O38" s="11"/>
      <c r="P38" s="7">
        <v>24358</v>
      </c>
      <c r="Q38" s="2"/>
      <c r="R38" s="6">
        <f t="shared" si="18"/>
        <v>7.4038976636535553E-2</v>
      </c>
      <c r="S38" s="2"/>
      <c r="T38" s="7">
        <v>16542.57567307695</v>
      </c>
      <c r="U38" s="2"/>
      <c r="V38" s="6">
        <f t="shared" si="19"/>
        <v>3.1709528577408753E-2</v>
      </c>
      <c r="W38" s="2"/>
      <c r="X38" s="7">
        <f t="shared" si="20"/>
        <v>7815.4243269230501</v>
      </c>
      <c r="Y38" s="2"/>
      <c r="Z38" s="6">
        <f t="shared" si="21"/>
        <v>0.4724430150041663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7">
        <v>1382.86</v>
      </c>
      <c r="E39" s="2"/>
      <c r="F39" s="6">
        <f t="shared" si="14"/>
        <v>2.7593761941296958E-2</v>
      </c>
      <c r="G39" s="2"/>
      <c r="H39" s="7">
        <v>1502.1977999999999</v>
      </c>
      <c r="I39" s="2"/>
      <c r="J39" s="6">
        <f t="shared" si="15"/>
        <v>9.0261121926598891E-3</v>
      </c>
      <c r="K39" s="2"/>
      <c r="L39" s="7">
        <f t="shared" si="16"/>
        <v>-119.33780000000002</v>
      </c>
      <c r="M39" s="2"/>
      <c r="N39" s="6">
        <f t="shared" si="17"/>
        <v>-7.9442134717545201E-2</v>
      </c>
      <c r="O39" s="11"/>
      <c r="P39" s="7">
        <v>14572.46</v>
      </c>
      <c r="Q39" s="2"/>
      <c r="R39" s="6">
        <f t="shared" si="18"/>
        <v>4.4294688622910292E-2</v>
      </c>
      <c r="S39" s="2"/>
      <c r="T39" s="7">
        <v>9491.0612500000007</v>
      </c>
      <c r="U39" s="2"/>
      <c r="V39" s="6">
        <f t="shared" si="19"/>
        <v>1.819287902225647E-2</v>
      </c>
      <c r="W39" s="2"/>
      <c r="X39" s="7">
        <f t="shared" si="20"/>
        <v>5081.3987499999985</v>
      </c>
      <c r="Y39" s="2"/>
      <c r="Z39" s="6">
        <f t="shared" si="21"/>
        <v>0.53538783663418021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7">
        <v>196.24</v>
      </c>
      <c r="E40" s="2"/>
      <c r="F40" s="6">
        <f t="shared" si="14"/>
        <v>3.9157975813604523E-3</v>
      </c>
      <c r="G40" s="2"/>
      <c r="H40" s="7">
        <v>525</v>
      </c>
      <c r="I40" s="2"/>
      <c r="J40" s="6">
        <f t="shared" si="15"/>
        <v>3.1545172687288195E-3</v>
      </c>
      <c r="K40" s="2"/>
      <c r="L40" s="7">
        <f t="shared" si="16"/>
        <v>-328.76</v>
      </c>
      <c r="M40" s="2"/>
      <c r="N40" s="6">
        <f t="shared" si="17"/>
        <v>-0.62620952380952377</v>
      </c>
      <c r="O40" s="11"/>
      <c r="P40" s="7">
        <v>4443.97</v>
      </c>
      <c r="Q40" s="2"/>
      <c r="R40" s="6">
        <f t="shared" si="18"/>
        <v>1.3507964159761267E-2</v>
      </c>
      <c r="S40" s="2"/>
      <c r="T40" s="7">
        <v>4200</v>
      </c>
      <c r="U40" s="2"/>
      <c r="V40" s="6">
        <f t="shared" si="19"/>
        <v>8.0507426810123225E-3</v>
      </c>
      <c r="W40" s="2"/>
      <c r="X40" s="7">
        <f t="shared" si="20"/>
        <v>243.97000000000025</v>
      </c>
      <c r="Y40" s="2"/>
      <c r="Z40" s="6">
        <f t="shared" si="21"/>
        <v>5.80880952380953E-2</v>
      </c>
    </row>
    <row r="41" spans="1:26" s="28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25366.62</v>
      </c>
      <c r="E41" s="1"/>
      <c r="F41" s="5">
        <f t="shared" ref="F41:F51" si="22">IF(D$12=0,0,D41/D$12)</f>
        <v>0.50616871811704889</v>
      </c>
      <c r="G41" s="1"/>
      <c r="H41" s="1">
        <f>SUM(OSRRefH22_1x_0)</f>
        <v>59909.054892307686</v>
      </c>
      <c r="I41" s="1"/>
      <c r="J41" s="5">
        <f t="shared" ref="J41:J51" si="23">IF(H$12=0,0,H41/H$12)</f>
        <v>0.35996980611620449</v>
      </c>
      <c r="K41" s="1"/>
      <c r="L41" s="1">
        <f t="shared" ref="L41:L51" si="24">+D41-H41</f>
        <v>-34542.43489230769</v>
      </c>
      <c r="M41" s="1"/>
      <c r="N41" s="5">
        <f t="shared" ref="N41:N51" si="25">IF(H41=0,0,L41/H41)</f>
        <v>-0.57658120219724807</v>
      </c>
      <c r="O41" s="14"/>
      <c r="P41" s="1">
        <f>SUM(OSRRefP22_1x_0)</f>
        <v>275464.67000000004</v>
      </c>
      <c r="Q41" s="1"/>
      <c r="R41" s="5">
        <f t="shared" ref="R41:R51" si="26">IF(P$12=0,0,P41/P$12)</f>
        <v>0.83730693268416867</v>
      </c>
      <c r="S41" s="1"/>
      <c r="T41" s="1">
        <f>SUM(OSRRefT22_1x_0)</f>
        <v>366687.40400769224</v>
      </c>
      <c r="U41" s="1"/>
      <c r="V41" s="5">
        <f t="shared" ref="V41:V51" si="27">IF(T$12=0,0,T41/T$12)</f>
        <v>0.70288236524627079</v>
      </c>
      <c r="W41" s="1"/>
      <c r="X41" s="1">
        <f t="shared" ref="X41:X51" si="28">+P41-T41</f>
        <v>-91222.734007692197</v>
      </c>
      <c r="Y41" s="1"/>
      <c r="Z41" s="5">
        <f t="shared" ref="Z41:Z51" si="29">IF(T41=0,0,X41/T41)</f>
        <v>-0.24877520474027126</v>
      </c>
    </row>
    <row r="42" spans="1:26" s="24" customFormat="1" hidden="1" outlineLevel="2" x14ac:dyDescent="0.25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>
        <v>10590.82</v>
      </c>
      <c r="E42" s="2"/>
      <c r="F42" s="6">
        <f t="shared" si="22"/>
        <v>0.21133055106310591</v>
      </c>
      <c r="G42" s="2"/>
      <c r="H42" s="7">
        <v>15250.00769230769</v>
      </c>
      <c r="I42" s="2"/>
      <c r="J42" s="6">
        <f t="shared" si="23"/>
        <v>9.1631262121203705E-2</v>
      </c>
      <c r="K42" s="2"/>
      <c r="L42" s="7">
        <f t="shared" si="24"/>
        <v>-4659.1876923076907</v>
      </c>
      <c r="M42" s="2"/>
      <c r="N42" s="6">
        <f t="shared" si="25"/>
        <v>-0.30552035030499347</v>
      </c>
      <c r="O42" s="11"/>
      <c r="P42" s="7">
        <v>87181.900000000009</v>
      </c>
      <c r="Q42" s="2"/>
      <c r="R42" s="6">
        <f t="shared" si="26"/>
        <v>0.26499953433076523</v>
      </c>
      <c r="S42" s="2"/>
      <c r="T42" s="7">
        <v>133437.56730769225</v>
      </c>
      <c r="U42" s="2"/>
      <c r="V42" s="6">
        <f t="shared" si="27"/>
        <v>0.25577893294630777</v>
      </c>
      <c r="W42" s="2"/>
      <c r="X42" s="7">
        <f t="shared" si="28"/>
        <v>-46255.667307692245</v>
      </c>
      <c r="Y42" s="2"/>
      <c r="Z42" s="6">
        <f t="shared" si="29"/>
        <v>-0.34664651223018628</v>
      </c>
    </row>
    <row r="43" spans="1:26" s="24" customFormat="1" hidden="1" outlineLevel="2" x14ac:dyDescent="0.25">
      <c r="A43" s="27"/>
      <c r="B43" s="11" t="str">
        <f>CONCATENATE("          ", "6002", " - ", "STAFF SALARIES")</f>
        <v xml:space="preserve">          6002 - STAFF SALARIES</v>
      </c>
      <c r="C43" s="11"/>
      <c r="D43" s="7">
        <v>14166.5</v>
      </c>
      <c r="E43" s="2"/>
      <c r="F43" s="6">
        <f t="shared" si="22"/>
        <v>0.28268011840778051</v>
      </c>
      <c r="G43" s="2"/>
      <c r="H43" s="7">
        <v>8587.2420000000002</v>
      </c>
      <c r="I43" s="2"/>
      <c r="J43" s="6">
        <f t="shared" si="23"/>
        <v>5.1597339390006491E-2</v>
      </c>
      <c r="K43" s="2"/>
      <c r="L43" s="7">
        <f t="shared" si="24"/>
        <v>5579.2579999999998</v>
      </c>
      <c r="M43" s="2"/>
      <c r="N43" s="6">
        <f t="shared" si="25"/>
        <v>0.64971477454577375</v>
      </c>
      <c r="O43" s="11"/>
      <c r="P43" s="7">
        <v>161089.01</v>
      </c>
      <c r="Q43" s="2"/>
      <c r="R43" s="6">
        <f t="shared" si="26"/>
        <v>0.48964879907187137</v>
      </c>
      <c r="S43" s="2"/>
      <c r="T43" s="7">
        <v>73191.487499999988</v>
      </c>
      <c r="U43" s="2"/>
      <c r="V43" s="6">
        <f t="shared" si="27"/>
        <v>0.14029662673881663</v>
      </c>
      <c r="W43" s="2"/>
      <c r="X43" s="7">
        <f t="shared" si="28"/>
        <v>87897.522500000021</v>
      </c>
      <c r="Y43" s="2"/>
      <c r="Z43" s="6">
        <f t="shared" si="29"/>
        <v>1.2009254833084249</v>
      </c>
    </row>
    <row r="44" spans="1:26" s="24" customFormat="1" hidden="1" outlineLevel="2" x14ac:dyDescent="0.25">
      <c r="A44" s="27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7"/>
      <c r="B45" s="11" t="str">
        <f>CONCATENATE("          ", "6004", " - ", "STAFF HOURLY")</f>
        <v xml:space="preserve">          6004 - STAFF HOURLY</v>
      </c>
      <c r="C45" s="11"/>
      <c r="D45" s="7">
        <v>284.3</v>
      </c>
      <c r="E45" s="2"/>
      <c r="F45" s="6">
        <f t="shared" si="22"/>
        <v>5.6729578698571986E-3</v>
      </c>
      <c r="G45" s="2"/>
      <c r="H45" s="7">
        <v>8643.8799999999992</v>
      </c>
      <c r="I45" s="2"/>
      <c r="J45" s="6">
        <f t="shared" si="23"/>
        <v>5.1937654721561269E-2</v>
      </c>
      <c r="K45" s="2"/>
      <c r="L45" s="7">
        <f t="shared" si="24"/>
        <v>-8359.58</v>
      </c>
      <c r="M45" s="2"/>
      <c r="N45" s="6">
        <f t="shared" si="25"/>
        <v>-0.96710967759848598</v>
      </c>
      <c r="O45" s="11"/>
      <c r="P45" s="7">
        <v>21769.38</v>
      </c>
      <c r="Q45" s="2"/>
      <c r="R45" s="6">
        <f t="shared" si="26"/>
        <v>6.6170564792341915E-2</v>
      </c>
      <c r="S45" s="2"/>
      <c r="T45" s="7">
        <v>51717.71</v>
      </c>
      <c r="U45" s="2"/>
      <c r="V45" s="6">
        <f t="shared" si="27"/>
        <v>9.9134756014575678E-2</v>
      </c>
      <c r="W45" s="2"/>
      <c r="X45" s="7">
        <f t="shared" si="28"/>
        <v>-29948.329999999998</v>
      </c>
      <c r="Y45" s="2"/>
      <c r="Z45" s="6">
        <f t="shared" si="29"/>
        <v>-0.57907300999986266</v>
      </c>
    </row>
    <row r="46" spans="1:26" s="24" customFormat="1" hidden="1" outlineLevel="2" x14ac:dyDescent="0.25">
      <c r="A46" s="27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22"/>
        <v>0</v>
      </c>
      <c r="G46" s="2"/>
      <c r="H46" s="7">
        <v>14053.984</v>
      </c>
      <c r="I46" s="2"/>
      <c r="J46" s="6">
        <f t="shared" si="23"/>
        <v>8.4444828995121013E-2</v>
      </c>
      <c r="K46" s="2"/>
      <c r="L46" s="7">
        <f t="shared" si="24"/>
        <v>-14053.984</v>
      </c>
      <c r="M46" s="2"/>
      <c r="N46" s="6">
        <f t="shared" si="25"/>
        <v>-1</v>
      </c>
      <c r="O46" s="11"/>
      <c r="P46" s="7">
        <v>4868.67</v>
      </c>
      <c r="Q46" s="2"/>
      <c r="R46" s="6">
        <f t="shared" si="26"/>
        <v>1.4798889251211166E-2</v>
      </c>
      <c r="S46" s="2"/>
      <c r="T46" s="7">
        <v>49662.121999999996</v>
      </c>
      <c r="U46" s="2"/>
      <c r="V46" s="6">
        <f t="shared" si="27"/>
        <v>9.5194515527390722E-2</v>
      </c>
      <c r="W46" s="2"/>
      <c r="X46" s="7">
        <f t="shared" si="28"/>
        <v>-44793.451999999997</v>
      </c>
      <c r="Y46" s="2"/>
      <c r="Z46" s="6">
        <f t="shared" si="29"/>
        <v>-0.90196411663601495</v>
      </c>
    </row>
    <row r="47" spans="1:26" s="24" customFormat="1" hidden="1" outlineLevel="2" x14ac:dyDescent="0.25">
      <c r="A47" s="27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7"/>
      <c r="B48" s="11" t="str">
        <f>CONCATENATE("          ", "6007", " - ", "STUDENT HOURLY")</f>
        <v xml:space="preserve">          6007 - STUDENT HOURLY</v>
      </c>
      <c r="C48" s="11"/>
      <c r="D48" s="7">
        <v>325</v>
      </c>
      <c r="E48" s="2"/>
      <c r="F48" s="6">
        <f t="shared" si="22"/>
        <v>6.4850907763052742E-3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325</v>
      </c>
      <c r="M48" s="2"/>
      <c r="N48" s="6">
        <f t="shared" si="25"/>
        <v>0</v>
      </c>
      <c r="O48" s="11"/>
      <c r="P48" s="7">
        <v>555.71</v>
      </c>
      <c r="Q48" s="2"/>
      <c r="R48" s="6">
        <f t="shared" si="26"/>
        <v>1.6891452379788642E-3</v>
      </c>
      <c r="S48" s="2"/>
      <c r="T48" s="7">
        <v>3202.94</v>
      </c>
      <c r="U48" s="2"/>
      <c r="V48" s="6">
        <f t="shared" si="27"/>
        <v>6.1395347054099079E-3</v>
      </c>
      <c r="W48" s="2"/>
      <c r="X48" s="7">
        <f t="shared" si="28"/>
        <v>-2647.23</v>
      </c>
      <c r="Y48" s="2"/>
      <c r="Z48" s="6">
        <f t="shared" si="29"/>
        <v>-0.82650002809918388</v>
      </c>
    </row>
    <row r="49" spans="1:26" s="24" customFormat="1" hidden="1" outlineLevel="2" x14ac:dyDescent="0.25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13373.941199999999</v>
      </c>
      <c r="I49" s="2"/>
      <c r="J49" s="6">
        <f t="shared" si="23"/>
        <v>8.0358720888312057E-2</v>
      </c>
      <c r="K49" s="2"/>
      <c r="L49" s="7">
        <f t="shared" si="24"/>
        <v>-13373.941199999999</v>
      </c>
      <c r="M49" s="2"/>
      <c r="N49" s="6">
        <f t="shared" si="25"/>
        <v>-1</v>
      </c>
      <c r="O49" s="11"/>
      <c r="P49" s="7"/>
      <c r="Q49" s="2"/>
      <c r="R49" s="6">
        <f t="shared" si="26"/>
        <v>0</v>
      </c>
      <c r="S49" s="2"/>
      <c r="T49" s="7">
        <v>55475.5772</v>
      </c>
      <c r="U49" s="2"/>
      <c r="V49" s="6">
        <f t="shared" si="27"/>
        <v>0.10633799931377003</v>
      </c>
      <c r="W49" s="2"/>
      <c r="X49" s="7">
        <f t="shared" si="28"/>
        <v>-55475.5772</v>
      </c>
      <c r="Y49" s="2"/>
      <c r="Z49" s="6">
        <f t="shared" si="29"/>
        <v>-1</v>
      </c>
    </row>
    <row r="50" spans="1:26" s="24" customFormat="1" hidden="1" outlineLevel="2" x14ac:dyDescent="0.25">
      <c r="A50" s="27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25">
      <c r="A51" s="27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8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78.48</v>
      </c>
      <c r="E52" s="1"/>
      <c r="F52" s="5">
        <f t="shared" ref="F52:F61" si="30">IF(D$12=0,0,D52/D$12)</f>
        <v>1.5659997665367323E-3</v>
      </c>
      <c r="G52" s="1"/>
      <c r="H52" s="1">
        <f>SUM(OSRRefH22_2x_0)</f>
        <v>1515</v>
      </c>
      <c r="I52" s="1"/>
      <c r="J52" s="5">
        <f t="shared" ref="J52:J61" si="31">IF(H$12=0,0,H52/H$12)</f>
        <v>9.1030355469031658E-3</v>
      </c>
      <c r="K52" s="1"/>
      <c r="L52" s="1">
        <f t="shared" ref="L52:L61" si="32">+D52-H52</f>
        <v>-1436.52</v>
      </c>
      <c r="M52" s="1"/>
      <c r="N52" s="5">
        <f t="shared" ref="N52:N61" si="33">IF(H52=0,0,L52/H52)</f>
        <v>-0.94819801980198015</v>
      </c>
      <c r="O52" s="14"/>
      <c r="P52" s="1">
        <f>SUM(OSRRefP22_2x_0)</f>
        <v>217.83</v>
      </c>
      <c r="Q52" s="1"/>
      <c r="R52" s="5">
        <f t="shared" ref="R52:R61" si="34">IF(P$12=0,0,P52/P$12)</f>
        <v>6.6211964367914196E-4</v>
      </c>
      <c r="S52" s="1"/>
      <c r="T52" s="1">
        <f>SUM(OSRRefT22_2x_0)</f>
        <v>7728</v>
      </c>
      <c r="U52" s="1"/>
      <c r="V52" s="5">
        <f t="shared" ref="V52:V61" si="35">IF(T$12=0,0,T52/T$12)</f>
        <v>1.4813366533062675E-2</v>
      </c>
      <c r="W52" s="1"/>
      <c r="X52" s="1">
        <f t="shared" ref="X52:X61" si="36">+P52-T52</f>
        <v>-7510.17</v>
      </c>
      <c r="Y52" s="1"/>
      <c r="Z52" s="5">
        <f t="shared" ref="Z52:Z61" si="37">IF(T52=0,0,X52/T52)</f>
        <v>-0.97181288819875777</v>
      </c>
    </row>
    <row r="53" spans="1:26" s="24" customFormat="1" hidden="1" outlineLevel="2" x14ac:dyDescent="0.25">
      <c r="A53" s="27"/>
      <c r="B53" s="11" t="str">
        <f>CONCATENATE("          ", "6362", " - ", "ADVERTISING EXPENSE")</f>
        <v xml:space="preserve">          6362 - ADVERTISING EXPENSE</v>
      </c>
      <c r="C53" s="11"/>
      <c r="D53" s="7">
        <v>78.48</v>
      </c>
      <c r="E53" s="2"/>
      <c r="F53" s="6">
        <f t="shared" si="30"/>
        <v>1.5659997665367323E-3</v>
      </c>
      <c r="G53" s="2"/>
      <c r="H53" s="7">
        <v>1515</v>
      </c>
      <c r="I53" s="2"/>
      <c r="J53" s="6">
        <f t="shared" si="31"/>
        <v>9.1030355469031658E-3</v>
      </c>
      <c r="K53" s="2"/>
      <c r="L53" s="7">
        <f t="shared" si="32"/>
        <v>-1436.52</v>
      </c>
      <c r="M53" s="2"/>
      <c r="N53" s="6">
        <f t="shared" si="33"/>
        <v>-0.94819801980198015</v>
      </c>
      <c r="O53" s="11"/>
      <c r="P53" s="7">
        <v>217.83</v>
      </c>
      <c r="Q53" s="2"/>
      <c r="R53" s="6">
        <f t="shared" si="34"/>
        <v>6.6211964367914196E-4</v>
      </c>
      <c r="S53" s="2"/>
      <c r="T53" s="7">
        <v>7728</v>
      </c>
      <c r="U53" s="2"/>
      <c r="V53" s="6">
        <f t="shared" si="35"/>
        <v>1.4813366533062675E-2</v>
      </c>
      <c r="W53" s="2"/>
      <c r="X53" s="7">
        <f t="shared" si="36"/>
        <v>-7510.17</v>
      </c>
      <c r="Y53" s="2"/>
      <c r="Z53" s="6">
        <f t="shared" si="37"/>
        <v>-0.97181288819875777</v>
      </c>
    </row>
    <row r="54" spans="1:26" s="28" customFormat="1" outlineLevel="1" collapsed="1" x14ac:dyDescent="0.25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0</v>
      </c>
      <c r="E54" s="1"/>
      <c r="F54" s="5">
        <f t="shared" si="30"/>
        <v>0</v>
      </c>
      <c r="G54" s="1"/>
      <c r="H54" s="1">
        <f>SUM(OSRRefH22_3x_0)</f>
        <v>10</v>
      </c>
      <c r="I54" s="1"/>
      <c r="J54" s="5">
        <f t="shared" si="31"/>
        <v>6.0086043213882282E-5</v>
      </c>
      <c r="K54" s="1"/>
      <c r="L54" s="1">
        <f t="shared" si="32"/>
        <v>-10</v>
      </c>
      <c r="M54" s="1"/>
      <c r="N54" s="5">
        <f t="shared" si="33"/>
        <v>-1</v>
      </c>
      <c r="O54" s="14"/>
      <c r="P54" s="1">
        <f>SUM(OSRRefP22_3x_0)</f>
        <v>12.1</v>
      </c>
      <c r="Q54" s="1"/>
      <c r="R54" s="5">
        <f t="shared" si="34"/>
        <v>3.6779358621482887E-5</v>
      </c>
      <c r="S54" s="1"/>
      <c r="T54" s="1">
        <f>SUM(OSRRefT22_3x_0)</f>
        <v>134</v>
      </c>
      <c r="U54" s="1"/>
      <c r="V54" s="5">
        <f t="shared" si="35"/>
        <v>2.5685702839420272E-4</v>
      </c>
      <c r="W54" s="1"/>
      <c r="X54" s="1">
        <f t="shared" si="36"/>
        <v>-121.9</v>
      </c>
      <c r="Y54" s="1"/>
      <c r="Z54" s="5">
        <f t="shared" si="37"/>
        <v>-0.90970149253731347</v>
      </c>
    </row>
    <row r="55" spans="1:26" s="24" customFormat="1" hidden="1" outlineLevel="2" x14ac:dyDescent="0.25">
      <c r="A55" s="27"/>
      <c r="B55" s="11" t="str">
        <f>CONCATENATE("          ", "6272", " - ", "CASH (OVER/SHORT)")</f>
        <v xml:space="preserve">          6272 - CASH (OVER/SHORT)</v>
      </c>
      <c r="C55" s="11"/>
      <c r="D55" s="7"/>
      <c r="E55" s="2"/>
      <c r="F55" s="6">
        <f t="shared" si="30"/>
        <v>0</v>
      </c>
      <c r="G55" s="2"/>
      <c r="H55" s="7">
        <v>10</v>
      </c>
      <c r="I55" s="2"/>
      <c r="J55" s="6">
        <f t="shared" si="31"/>
        <v>6.0086043213882282E-5</v>
      </c>
      <c r="K55" s="2"/>
      <c r="L55" s="7">
        <f t="shared" si="32"/>
        <v>-10</v>
      </c>
      <c r="M55" s="2"/>
      <c r="N55" s="6">
        <f t="shared" si="33"/>
        <v>-1</v>
      </c>
      <c r="O55" s="11"/>
      <c r="P55" s="7">
        <v>12.1</v>
      </c>
      <c r="Q55" s="2"/>
      <c r="R55" s="6">
        <f t="shared" si="34"/>
        <v>3.6779358621482887E-5</v>
      </c>
      <c r="S55" s="2"/>
      <c r="T55" s="7">
        <v>134</v>
      </c>
      <c r="U55" s="2"/>
      <c r="V55" s="6">
        <f t="shared" si="35"/>
        <v>2.5685702839420272E-4</v>
      </c>
      <c r="W55" s="2"/>
      <c r="X55" s="7">
        <f t="shared" si="36"/>
        <v>-121.9</v>
      </c>
      <c r="Y55" s="2"/>
      <c r="Z55" s="6">
        <f t="shared" si="37"/>
        <v>-0.90970149253731347</v>
      </c>
    </row>
    <row r="56" spans="1:26" s="28" customFormat="1" outlineLevel="1" collapsed="1" x14ac:dyDescent="0.25">
      <c r="A56" s="29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1006.81</v>
      </c>
      <c r="E56" s="1"/>
      <c r="F56" s="5">
        <f t="shared" si="30"/>
        <v>2.0090013059975119E-2</v>
      </c>
      <c r="G56" s="1"/>
      <c r="H56" s="1">
        <f>SUM(OSRRefH22_4x_0)</f>
        <v>11480</v>
      </c>
      <c r="I56" s="1"/>
      <c r="J56" s="5">
        <f t="shared" si="31"/>
        <v>6.8978777609536857E-2</v>
      </c>
      <c r="K56" s="1"/>
      <c r="L56" s="1">
        <f t="shared" si="32"/>
        <v>-10473.19</v>
      </c>
      <c r="M56" s="1"/>
      <c r="N56" s="5">
        <f t="shared" si="33"/>
        <v>-0.91229878048780488</v>
      </c>
      <c r="O56" s="14"/>
      <c r="P56" s="1">
        <f>SUM(OSRRefP22_4x_0)</f>
        <v>6071.62</v>
      </c>
      <c r="Q56" s="1"/>
      <c r="R56" s="5">
        <f t="shared" si="34"/>
        <v>1.8455395817633714E-2</v>
      </c>
      <c r="S56" s="1"/>
      <c r="T56" s="1">
        <f>SUM(OSRRefT22_4x_0)</f>
        <v>56989</v>
      </c>
      <c r="U56" s="1"/>
      <c r="V56" s="5">
        <f t="shared" si="35"/>
        <v>0.10923899396385983</v>
      </c>
      <c r="W56" s="1"/>
      <c r="X56" s="1">
        <f t="shared" si="36"/>
        <v>-50917.38</v>
      </c>
      <c r="Y56" s="1"/>
      <c r="Z56" s="5">
        <f t="shared" si="37"/>
        <v>-0.8934597904858832</v>
      </c>
    </row>
    <row r="57" spans="1:26" s="24" customFormat="1" hidden="1" outlineLevel="2" x14ac:dyDescent="0.25">
      <c r="A57" s="27"/>
      <c r="B57" s="11" t="str">
        <f>CONCATENATE("          ", "6381", " - ", "BANK/CREDIT CARD FEES")</f>
        <v xml:space="preserve">          6381 - BANK/CREDIT CARD FEES</v>
      </c>
      <c r="C57" s="11"/>
      <c r="D57" s="7">
        <v>1006.81</v>
      </c>
      <c r="E57" s="2"/>
      <c r="F57" s="6">
        <f t="shared" si="30"/>
        <v>2.0090013059975119E-2</v>
      </c>
      <c r="G57" s="2"/>
      <c r="H57" s="7">
        <v>11480</v>
      </c>
      <c r="I57" s="2"/>
      <c r="J57" s="6">
        <f t="shared" si="31"/>
        <v>6.8978777609536857E-2</v>
      </c>
      <c r="K57" s="2"/>
      <c r="L57" s="7">
        <f t="shared" si="32"/>
        <v>-10473.19</v>
      </c>
      <c r="M57" s="2"/>
      <c r="N57" s="6">
        <f t="shared" si="33"/>
        <v>-0.91229878048780488</v>
      </c>
      <c r="O57" s="11"/>
      <c r="P57" s="7">
        <v>6071.62</v>
      </c>
      <c r="Q57" s="2"/>
      <c r="R57" s="6">
        <f t="shared" si="34"/>
        <v>1.8455395817633714E-2</v>
      </c>
      <c r="S57" s="2"/>
      <c r="T57" s="7">
        <v>56989</v>
      </c>
      <c r="U57" s="2"/>
      <c r="V57" s="6">
        <f t="shared" si="35"/>
        <v>0.10923899396385983</v>
      </c>
      <c r="W57" s="2"/>
      <c r="X57" s="7">
        <f t="shared" si="36"/>
        <v>-50917.38</v>
      </c>
      <c r="Y57" s="2"/>
      <c r="Z57" s="6">
        <f t="shared" si="37"/>
        <v>-0.8934597904858832</v>
      </c>
    </row>
    <row r="58" spans="1:26" s="28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45872.85</v>
      </c>
      <c r="E58" s="1"/>
      <c r="F58" s="5">
        <f t="shared" si="30"/>
        <v>0.91535260436257049</v>
      </c>
      <c r="G58" s="1"/>
      <c r="H58" s="1">
        <f>SUM(OSRRefH22_5x_0)</f>
        <v>46280</v>
      </c>
      <c r="I58" s="1"/>
      <c r="J58" s="5">
        <f t="shared" si="31"/>
        <v>0.27807820799384719</v>
      </c>
      <c r="K58" s="1"/>
      <c r="L58" s="1">
        <f t="shared" si="32"/>
        <v>-407.15000000000146</v>
      </c>
      <c r="M58" s="1"/>
      <c r="N58" s="5">
        <f t="shared" si="33"/>
        <v>-8.7975367329300221E-3</v>
      </c>
      <c r="O58" s="14"/>
      <c r="P58" s="1">
        <f>SUM(OSRRefP22_5x_0)</f>
        <v>369987.6</v>
      </c>
      <c r="Q58" s="1"/>
      <c r="R58" s="5">
        <f t="shared" si="34"/>
        <v>1.1246203823059306</v>
      </c>
      <c r="S58" s="1"/>
      <c r="T58" s="1">
        <f>SUM(OSRRefT22_5x_0)</f>
        <v>373292</v>
      </c>
      <c r="U58" s="1"/>
      <c r="V58" s="5">
        <f t="shared" si="35"/>
        <v>0.71554234211439338</v>
      </c>
      <c r="W58" s="1"/>
      <c r="X58" s="1">
        <f t="shared" si="36"/>
        <v>-3304.4000000000233</v>
      </c>
      <c r="Y58" s="1"/>
      <c r="Z58" s="5">
        <f t="shared" si="37"/>
        <v>-8.8520514771278872E-3</v>
      </c>
    </row>
    <row r="59" spans="1:26" s="24" customFormat="1" hidden="1" outlineLevel="2" x14ac:dyDescent="0.25">
      <c r="A59" s="27"/>
      <c r="B59" s="11" t="str">
        <f>CONCATENATE("          ", "6321", " - ", "BUILDING DEPRECIATION")</f>
        <v xml:space="preserve">          6321 - BUILDING DEPRECIATION</v>
      </c>
      <c r="C59" s="11"/>
      <c r="D59" s="7">
        <v>28664</v>
      </c>
      <c r="E59" s="2"/>
      <c r="F59" s="6">
        <f t="shared" si="30"/>
        <v>0.57196505234465966</v>
      </c>
      <c r="G59" s="2"/>
      <c r="H59" s="7"/>
      <c r="I59" s="2"/>
      <c r="J59" s="6">
        <f t="shared" si="31"/>
        <v>0</v>
      </c>
      <c r="K59" s="2"/>
      <c r="L59" s="7">
        <f t="shared" si="32"/>
        <v>28664</v>
      </c>
      <c r="M59" s="2"/>
      <c r="N59" s="6">
        <f t="shared" si="33"/>
        <v>0</v>
      </c>
      <c r="O59" s="11"/>
      <c r="P59" s="7">
        <v>230096.19</v>
      </c>
      <c r="Q59" s="2"/>
      <c r="R59" s="6">
        <f t="shared" si="34"/>
        <v>0.69940415615263352</v>
      </c>
      <c r="S59" s="2"/>
      <c r="T59" s="7"/>
      <c r="U59" s="2"/>
      <c r="V59" s="6">
        <f t="shared" si="35"/>
        <v>0</v>
      </c>
      <c r="W59" s="2"/>
      <c r="X59" s="7">
        <f t="shared" si="36"/>
        <v>230096.19</v>
      </c>
      <c r="Y59" s="2"/>
      <c r="Z59" s="6">
        <f t="shared" si="37"/>
        <v>0</v>
      </c>
    </row>
    <row r="60" spans="1:26" s="24" customFormat="1" hidden="1" outlineLevel="2" x14ac:dyDescent="0.25">
      <c r="A60" s="27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17208.849999999999</v>
      </c>
      <c r="E60" s="2"/>
      <c r="F60" s="6">
        <f t="shared" si="30"/>
        <v>0.34338755201791082</v>
      </c>
      <c r="G60" s="2"/>
      <c r="H60" s="7">
        <v>45730</v>
      </c>
      <c r="I60" s="2"/>
      <c r="J60" s="6">
        <f t="shared" si="31"/>
        <v>0.27477347561708365</v>
      </c>
      <c r="K60" s="2"/>
      <c r="L60" s="7">
        <f t="shared" si="32"/>
        <v>-28521.15</v>
      </c>
      <c r="M60" s="2"/>
      <c r="N60" s="6">
        <f t="shared" si="33"/>
        <v>-0.62368576426853273</v>
      </c>
      <c r="O60" s="11"/>
      <c r="P60" s="7">
        <v>139891.41</v>
      </c>
      <c r="Q60" s="2"/>
      <c r="R60" s="6">
        <f t="shared" si="34"/>
        <v>0.42521622615329735</v>
      </c>
      <c r="S60" s="2"/>
      <c r="T60" s="7">
        <v>368892</v>
      </c>
      <c r="U60" s="2"/>
      <c r="V60" s="6">
        <f t="shared" si="35"/>
        <v>0.70710823073428519</v>
      </c>
      <c r="W60" s="2"/>
      <c r="X60" s="7">
        <f t="shared" si="36"/>
        <v>-229000.59</v>
      </c>
      <c r="Y60" s="2"/>
      <c r="Z60" s="6">
        <f t="shared" si="37"/>
        <v>-0.6207794964379818</v>
      </c>
    </row>
    <row r="61" spans="1:26" s="24" customFormat="1" hidden="1" outlineLevel="2" x14ac:dyDescent="0.25">
      <c r="A61" s="27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3.3047323767635252E-3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4400</v>
      </c>
      <c r="U61" s="2"/>
      <c r="V61" s="6">
        <f t="shared" si="35"/>
        <v>8.4341113801081492E-3</v>
      </c>
      <c r="W61" s="2"/>
      <c r="X61" s="7">
        <f t="shared" si="36"/>
        <v>-4400</v>
      </c>
      <c r="Y61" s="2"/>
      <c r="Z61" s="6">
        <f t="shared" si="37"/>
        <v>-1</v>
      </c>
    </row>
    <row r="62" spans="1:26" s="28" customFormat="1" outlineLevel="1" collapsed="1" x14ac:dyDescent="0.25">
      <c r="A62" s="29"/>
      <c r="B62" s="14" t="str">
        <f>CONCATENATE("     ","Employees' Appreciation                           ")</f>
        <v xml:space="preserve">     Employees' Appreciation                           </v>
      </c>
      <c r="C62" s="14"/>
      <c r="D62" s="1">
        <f>SUM(OSRRefD22_6x_0)</f>
        <v>0</v>
      </c>
      <c r="E62" s="1"/>
      <c r="F62" s="5">
        <f t="shared" ref="F62:F68" si="38">IF(D$12=0,0,D62/D$12)</f>
        <v>0</v>
      </c>
      <c r="G62" s="1"/>
      <c r="H62" s="1">
        <f>SUM(OSRRefH22_6x_0)</f>
        <v>0</v>
      </c>
      <c r="I62" s="1"/>
      <c r="J62" s="5">
        <f t="shared" ref="J62:J68" si="39">IF(H$12=0,0,H62/H$12)</f>
        <v>0</v>
      </c>
      <c r="K62" s="1"/>
      <c r="L62" s="1">
        <f t="shared" ref="L62:L68" si="40">+D62-H62</f>
        <v>0</v>
      </c>
      <c r="M62" s="1"/>
      <c r="N62" s="5">
        <f t="shared" ref="N62:N68" si="41">IF(H62=0,0,L62/H62)</f>
        <v>0</v>
      </c>
      <c r="O62" s="14"/>
      <c r="P62" s="1">
        <f>SUM(OSRRefP22_6x_0)</f>
        <v>10</v>
      </c>
      <c r="Q62" s="1"/>
      <c r="R62" s="5">
        <f t="shared" ref="R62:R68" si="42">IF(P$12=0,0,P62/P$12)</f>
        <v>3.0396164149985859E-5</v>
      </c>
      <c r="S62" s="1"/>
      <c r="T62" s="1">
        <f>SUM(OSRRefT22_6x_0)</f>
        <v>150</v>
      </c>
      <c r="U62" s="1"/>
      <c r="V62" s="5">
        <f t="shared" ref="V62:V68" si="43">IF(T$12=0,0,T62/T$12)</f>
        <v>2.8752652432186872E-4</v>
      </c>
      <c r="W62" s="1"/>
      <c r="X62" s="1">
        <f t="shared" ref="X62:X68" si="44">+P62-T62</f>
        <v>-140</v>
      </c>
      <c r="Y62" s="1"/>
      <c r="Z62" s="5">
        <f t="shared" ref="Z62:Z68" si="45">IF(T62=0,0,X62/T62)</f>
        <v>-0.93333333333333335</v>
      </c>
    </row>
    <row r="63" spans="1:26" s="24" customFormat="1" hidden="1" outlineLevel="2" x14ac:dyDescent="0.25">
      <c r="A63" s="27"/>
      <c r="B63" s="11" t="str">
        <f>CONCATENATE("          ", "6277", " - ", "EMPLOYEE APPRECIATION")</f>
        <v xml:space="preserve">          6277 - EMPLOYEE APPRECIATION</v>
      </c>
      <c r="C63" s="11"/>
      <c r="D63" s="7"/>
      <c r="E63" s="2"/>
      <c r="F63" s="6">
        <f t="shared" si="38"/>
        <v>0</v>
      </c>
      <c r="G63" s="2"/>
      <c r="H63" s="7">
        <v>0</v>
      </c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>
        <v>10</v>
      </c>
      <c r="Q63" s="2"/>
      <c r="R63" s="6">
        <f t="shared" si="42"/>
        <v>3.0396164149985859E-5</v>
      </c>
      <c r="S63" s="2"/>
      <c r="T63" s="7">
        <v>150</v>
      </c>
      <c r="U63" s="2"/>
      <c r="V63" s="6">
        <f t="shared" si="43"/>
        <v>2.8752652432186872E-4</v>
      </c>
      <c r="W63" s="2"/>
      <c r="X63" s="7">
        <f t="shared" si="44"/>
        <v>-140</v>
      </c>
      <c r="Y63" s="2"/>
      <c r="Z63" s="6">
        <f t="shared" si="45"/>
        <v>-0.93333333333333335</v>
      </c>
    </row>
    <row r="64" spans="1:26" s="28" customFormat="1" outlineLevel="1" collapsed="1" x14ac:dyDescent="0.25">
      <c r="A64" s="29"/>
      <c r="B64" s="14" t="str">
        <f>CONCATENATE("     ","Equipment Rental                                  ")</f>
        <v xml:space="preserve">     Equipment Rental                                  </v>
      </c>
      <c r="C64" s="14"/>
      <c r="D64" s="1">
        <f>SUM(OSRRefD22_7x_0)</f>
        <v>431.95</v>
      </c>
      <c r="E64" s="1"/>
      <c r="F64" s="5">
        <f t="shared" si="38"/>
        <v>8.6191844948463481E-3</v>
      </c>
      <c r="G64" s="1"/>
      <c r="H64" s="1">
        <f>SUM(OSRRefH22_7x_0)</f>
        <v>457.33333333333297</v>
      </c>
      <c r="I64" s="1"/>
      <c r="J64" s="5">
        <f t="shared" si="39"/>
        <v>2.7479350429815475E-3</v>
      </c>
      <c r="K64" s="1"/>
      <c r="L64" s="1">
        <f t="shared" si="40"/>
        <v>-25.383333333332985</v>
      </c>
      <c r="M64" s="1"/>
      <c r="N64" s="5">
        <f t="shared" si="41"/>
        <v>-5.5502915451894327E-2</v>
      </c>
      <c r="O64" s="14"/>
      <c r="P64" s="1">
        <f>SUM(OSRRefP22_7x_0)</f>
        <v>5161.38</v>
      </c>
      <c r="Q64" s="1"/>
      <c r="R64" s="5">
        <f t="shared" si="42"/>
        <v>1.5688615372045401E-2</v>
      </c>
      <c r="S64" s="1"/>
      <c r="T64" s="1">
        <f>SUM(OSRRefT22_7x_0)</f>
        <v>3334.6666666666638</v>
      </c>
      <c r="U64" s="1"/>
      <c r="V64" s="5">
        <f t="shared" si="43"/>
        <v>6.3920341095910485E-3</v>
      </c>
      <c r="W64" s="1"/>
      <c r="X64" s="1">
        <f t="shared" si="44"/>
        <v>1826.7133333333363</v>
      </c>
      <c r="Y64" s="1"/>
      <c r="Z64" s="5">
        <f t="shared" si="45"/>
        <v>0.54779488204718252</v>
      </c>
    </row>
    <row r="65" spans="1:26" s="24" customFormat="1" hidden="1" outlineLevel="2" x14ac:dyDescent="0.25">
      <c r="A65" s="27"/>
      <c r="B65" s="11" t="str">
        <f>CONCATENATE("          ", "6351", " - ", "EQUIPMENT RENTAL")</f>
        <v xml:space="preserve">          6351 - EQUIPMENT RENTAL</v>
      </c>
      <c r="C65" s="11"/>
      <c r="D65" s="7">
        <v>431.95</v>
      </c>
      <c r="E65" s="2"/>
      <c r="F65" s="6">
        <f t="shared" si="38"/>
        <v>8.6191844948463481E-3</v>
      </c>
      <c r="G65" s="2"/>
      <c r="H65" s="7">
        <v>457.33333333333297</v>
      </c>
      <c r="I65" s="2"/>
      <c r="J65" s="6">
        <f t="shared" si="39"/>
        <v>2.7479350429815475E-3</v>
      </c>
      <c r="K65" s="2"/>
      <c r="L65" s="7">
        <f t="shared" si="40"/>
        <v>-25.383333333332985</v>
      </c>
      <c r="M65" s="2"/>
      <c r="N65" s="6">
        <f t="shared" si="41"/>
        <v>-5.5502915451894327E-2</v>
      </c>
      <c r="O65" s="11"/>
      <c r="P65" s="7">
        <v>5161.38</v>
      </c>
      <c r="Q65" s="2"/>
      <c r="R65" s="6">
        <f t="shared" si="42"/>
        <v>1.5688615372045401E-2</v>
      </c>
      <c r="S65" s="2"/>
      <c r="T65" s="7">
        <v>3334.6666666666638</v>
      </c>
      <c r="U65" s="2"/>
      <c r="V65" s="6">
        <f t="shared" si="43"/>
        <v>6.3920341095910485E-3</v>
      </c>
      <c r="W65" s="2"/>
      <c r="X65" s="7">
        <f t="shared" si="44"/>
        <v>1826.7133333333363</v>
      </c>
      <c r="Y65" s="2"/>
      <c r="Z65" s="6">
        <f t="shared" si="45"/>
        <v>0.54779488204718252</v>
      </c>
    </row>
    <row r="66" spans="1:26" s="28" customFormat="1" outlineLevel="1" collapsed="1" x14ac:dyDescent="0.25">
      <c r="A66" s="29"/>
      <c r="B66" s="14" t="str">
        <f>CONCATENATE("     ","Freight out/Postage                               ")</f>
        <v xml:space="preserve">     Freight out/Postage                               </v>
      </c>
      <c r="C66" s="14"/>
      <c r="D66" s="1">
        <f>SUM(OSRRefD22_8x_0)</f>
        <v>90.46</v>
      </c>
      <c r="E66" s="1"/>
      <c r="F66" s="5">
        <f t="shared" si="38"/>
        <v>1.8050501896140771E-3</v>
      </c>
      <c r="G66" s="1"/>
      <c r="H66" s="1">
        <f>SUM(OSRRefH22_8x_0)</f>
        <v>0</v>
      </c>
      <c r="I66" s="1"/>
      <c r="J66" s="5">
        <f t="shared" si="39"/>
        <v>0</v>
      </c>
      <c r="K66" s="1"/>
      <c r="L66" s="1">
        <f t="shared" si="40"/>
        <v>90.46</v>
      </c>
      <c r="M66" s="1"/>
      <c r="N66" s="5">
        <f t="shared" si="41"/>
        <v>0</v>
      </c>
      <c r="O66" s="14"/>
      <c r="P66" s="1">
        <f>SUM(OSRRefP22_8x_0)</f>
        <v>202.48</v>
      </c>
      <c r="Q66" s="1"/>
      <c r="R66" s="5">
        <f t="shared" si="42"/>
        <v>6.1546153170891364E-4</v>
      </c>
      <c r="S66" s="1"/>
      <c r="T66" s="1">
        <f>SUM(OSRRefT22_8x_0)</f>
        <v>0</v>
      </c>
      <c r="U66" s="1"/>
      <c r="V66" s="5">
        <f t="shared" si="43"/>
        <v>0</v>
      </c>
      <c r="W66" s="1"/>
      <c r="X66" s="1">
        <f t="shared" si="44"/>
        <v>202.48</v>
      </c>
      <c r="Y66" s="1"/>
      <c r="Z66" s="5">
        <f t="shared" si="45"/>
        <v>0</v>
      </c>
    </row>
    <row r="67" spans="1:26" s="24" customFormat="1" hidden="1" outlineLevel="2" x14ac:dyDescent="0.25">
      <c r="A67" s="27"/>
      <c r="B67" s="11" t="str">
        <f>CONCATENATE("          ", "6305", " - ", "FREIGHT OUT")</f>
        <v xml:space="preserve">          6305 - FREIGHT OUT</v>
      </c>
      <c r="C67" s="11"/>
      <c r="D67" s="7">
        <v>90.46</v>
      </c>
      <c r="E67" s="2"/>
      <c r="F67" s="6">
        <f t="shared" si="38"/>
        <v>1.8050501896140771E-3</v>
      </c>
      <c r="G67" s="2"/>
      <c r="H67" s="7"/>
      <c r="I67" s="2"/>
      <c r="J67" s="6">
        <f t="shared" si="39"/>
        <v>0</v>
      </c>
      <c r="K67" s="2"/>
      <c r="L67" s="7">
        <f t="shared" si="40"/>
        <v>90.46</v>
      </c>
      <c r="M67" s="2"/>
      <c r="N67" s="6">
        <f t="shared" si="41"/>
        <v>0</v>
      </c>
      <c r="O67" s="11"/>
      <c r="P67" s="7">
        <v>207.89</v>
      </c>
      <c r="Q67" s="2"/>
      <c r="R67" s="6">
        <f t="shared" si="42"/>
        <v>6.3190585651405596E-4</v>
      </c>
      <c r="S67" s="2"/>
      <c r="T67" s="7"/>
      <c r="U67" s="2"/>
      <c r="V67" s="6">
        <f t="shared" si="43"/>
        <v>0</v>
      </c>
      <c r="W67" s="2"/>
      <c r="X67" s="7">
        <f t="shared" si="44"/>
        <v>207.89</v>
      </c>
      <c r="Y67" s="2"/>
      <c r="Z67" s="6">
        <f t="shared" si="45"/>
        <v>0</v>
      </c>
    </row>
    <row r="68" spans="1:26" s="24" customFormat="1" hidden="1" outlineLevel="2" x14ac:dyDescent="0.25">
      <c r="A68" s="27"/>
      <c r="B68" s="11" t="str">
        <f>CONCATENATE("          ", "6307", " - ", "POSTAGE")</f>
        <v xml:space="preserve">          6307 - POSTAGE</v>
      </c>
      <c r="C68" s="11"/>
      <c r="D68" s="7"/>
      <c r="E68" s="2"/>
      <c r="F68" s="6">
        <f t="shared" si="38"/>
        <v>0</v>
      </c>
      <c r="G68" s="2"/>
      <c r="H68" s="7"/>
      <c r="I68" s="2"/>
      <c r="J68" s="6">
        <f t="shared" si="39"/>
        <v>0</v>
      </c>
      <c r="K68" s="2"/>
      <c r="L68" s="7">
        <f t="shared" si="40"/>
        <v>0</v>
      </c>
      <c r="M68" s="2"/>
      <c r="N68" s="6">
        <f t="shared" si="41"/>
        <v>0</v>
      </c>
      <c r="O68" s="11"/>
      <c r="P68" s="7">
        <v>-5.41</v>
      </c>
      <c r="Q68" s="2"/>
      <c r="R68" s="6">
        <f t="shared" si="42"/>
        <v>-1.644432480514235E-5</v>
      </c>
      <c r="S68" s="2"/>
      <c r="T68" s="7"/>
      <c r="U68" s="2"/>
      <c r="V68" s="6">
        <f t="shared" si="43"/>
        <v>0</v>
      </c>
      <c r="W68" s="2"/>
      <c r="X68" s="7">
        <f t="shared" si="44"/>
        <v>-5.41</v>
      </c>
      <c r="Y68" s="2"/>
      <c r="Z68" s="6">
        <f t="shared" si="45"/>
        <v>0</v>
      </c>
    </row>
    <row r="69" spans="1:26" s="28" customFormat="1" outlineLevel="1" collapsed="1" x14ac:dyDescent="0.25">
      <c r="A69" s="29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SUM(OSRRefD22_9x_0)</f>
        <v>1893.03</v>
      </c>
      <c r="E69" s="1"/>
      <c r="F69" s="5">
        <f t="shared" ref="F69:F81" si="46">IF(D$12=0,0,D69/D$12)</f>
        <v>3.7773758130058996E-2</v>
      </c>
      <c r="G69" s="1"/>
      <c r="H69" s="1">
        <f>SUM(OSRRefH22_9x_0)</f>
        <v>1800</v>
      </c>
      <c r="I69" s="1"/>
      <c r="J69" s="5">
        <f t="shared" ref="J69:J81" si="47">IF(H$12=0,0,H69/H$12)</f>
        <v>1.0815487778498811E-2</v>
      </c>
      <c r="K69" s="1"/>
      <c r="L69" s="1">
        <f t="shared" ref="L69:L81" si="48">+D69-H69</f>
        <v>93.029999999999973</v>
      </c>
      <c r="M69" s="1"/>
      <c r="N69" s="5">
        <f t="shared" ref="N69:N81" si="49">IF(H69=0,0,L69/H69)</f>
        <v>5.1683333333333317E-2</v>
      </c>
      <c r="O69" s="14"/>
      <c r="P69" s="1">
        <f>SUM(OSRRefP22_9x_0)</f>
        <v>9758.9699999999993</v>
      </c>
      <c r="Q69" s="1"/>
      <c r="R69" s="5">
        <f t="shared" ref="R69:R81" si="50">IF(P$12=0,0,P69/P$12)</f>
        <v>2.9663525405478747E-2</v>
      </c>
      <c r="S69" s="1"/>
      <c r="T69" s="1">
        <f>SUM(OSRRefT22_9x_0)</f>
        <v>9760</v>
      </c>
      <c r="U69" s="1"/>
      <c r="V69" s="5">
        <f t="shared" ref="V69:V81" si="51">IF(T$12=0,0,T69/T$12)</f>
        <v>1.8708392515876256E-2</v>
      </c>
      <c r="W69" s="1"/>
      <c r="X69" s="1">
        <f t="shared" ref="X69:X81" si="52">+P69-T69</f>
        <v>-1.0300000000006548</v>
      </c>
      <c r="Y69" s="1"/>
      <c r="Z69" s="5">
        <f t="shared" ref="Z69:Z81" si="53">IF(T69=0,0,X69/T69)</f>
        <v>-1.0553278688531299E-4</v>
      </c>
    </row>
    <row r="70" spans="1:26" s="24" customFormat="1" hidden="1" outlineLevel="2" x14ac:dyDescent="0.25">
      <c r="A70" s="27"/>
      <c r="B70" s="11" t="str">
        <f>CONCATENATE("          ", "6279", " - ", "GENERAL EXPENSE")</f>
        <v xml:space="preserve">          6279 - GENERAL EXPENSE</v>
      </c>
      <c r="C70" s="11"/>
      <c r="D70" s="7">
        <v>1893.03</v>
      </c>
      <c r="E70" s="2"/>
      <c r="F70" s="6">
        <f t="shared" si="46"/>
        <v>3.7773758130058996E-2</v>
      </c>
      <c r="G70" s="2"/>
      <c r="H70" s="7">
        <v>1800</v>
      </c>
      <c r="I70" s="2"/>
      <c r="J70" s="6">
        <f t="shared" si="47"/>
        <v>1.0815487778498811E-2</v>
      </c>
      <c r="K70" s="2"/>
      <c r="L70" s="7">
        <f t="shared" si="48"/>
        <v>93.029999999999973</v>
      </c>
      <c r="M70" s="2"/>
      <c r="N70" s="6">
        <f t="shared" si="49"/>
        <v>5.1683333333333317E-2</v>
      </c>
      <c r="O70" s="11"/>
      <c r="P70" s="7">
        <v>9758.9699999999993</v>
      </c>
      <c r="Q70" s="2"/>
      <c r="R70" s="6">
        <f t="shared" si="50"/>
        <v>2.9663525405478747E-2</v>
      </c>
      <c r="S70" s="2"/>
      <c r="T70" s="7">
        <v>9760</v>
      </c>
      <c r="U70" s="2"/>
      <c r="V70" s="6">
        <f t="shared" si="51"/>
        <v>1.8708392515876256E-2</v>
      </c>
      <c r="W70" s="2"/>
      <c r="X70" s="7">
        <f t="shared" si="52"/>
        <v>-1.0300000000006548</v>
      </c>
      <c r="Y70" s="2"/>
      <c r="Z70" s="6">
        <f t="shared" si="53"/>
        <v>-1.0553278688531299E-4</v>
      </c>
    </row>
    <row r="71" spans="1:26" s="28" customFormat="1" outlineLevel="1" collapsed="1" x14ac:dyDescent="0.25">
      <c r="A71" s="29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SUM(OSRRefD22_10x_0)</f>
        <v>4483.67</v>
      </c>
      <c r="E71" s="1"/>
      <c r="F71" s="5">
        <f t="shared" si="46"/>
        <v>8.9467713726143608E-2</v>
      </c>
      <c r="G71" s="1"/>
      <c r="H71" s="1">
        <f>SUM(OSRRefH22_10x_0)</f>
        <v>4835</v>
      </c>
      <c r="I71" s="1"/>
      <c r="J71" s="5">
        <f t="shared" si="47"/>
        <v>2.9051601893912083E-2</v>
      </c>
      <c r="K71" s="1"/>
      <c r="L71" s="1">
        <f t="shared" si="48"/>
        <v>-351.32999999999993</v>
      </c>
      <c r="M71" s="1"/>
      <c r="N71" s="5">
        <f t="shared" si="49"/>
        <v>-7.2663908996897605E-2</v>
      </c>
      <c r="O71" s="14"/>
      <c r="P71" s="1">
        <f>SUM(OSRRefP22_10x_0)</f>
        <v>41981.36</v>
      </c>
      <c r="Q71" s="1"/>
      <c r="R71" s="5">
        <f t="shared" si="50"/>
        <v>0.12760723097996504</v>
      </c>
      <c r="S71" s="1"/>
      <c r="T71" s="1">
        <f>SUM(OSRRefT22_10x_0)</f>
        <v>38680</v>
      </c>
      <c r="U71" s="1"/>
      <c r="V71" s="5">
        <f t="shared" si="51"/>
        <v>7.4143506405132537E-2</v>
      </c>
      <c r="W71" s="1"/>
      <c r="X71" s="1">
        <f t="shared" si="52"/>
        <v>3301.3600000000006</v>
      </c>
      <c r="Y71" s="1"/>
      <c r="Z71" s="5">
        <f t="shared" si="53"/>
        <v>8.5350568769389887E-2</v>
      </c>
    </row>
    <row r="72" spans="1:26" s="24" customFormat="1" hidden="1" outlineLevel="2" x14ac:dyDescent="0.25">
      <c r="A72" s="27"/>
      <c r="B72" s="11" t="str">
        <f>CONCATENATE("          ", "6314", " - ", "LIABILITY INSURANCE")</f>
        <v xml:space="preserve">          6314 - LIABILITY INSURANCE</v>
      </c>
      <c r="C72" s="11"/>
      <c r="D72" s="7">
        <v>4483.67</v>
      </c>
      <c r="E72" s="2"/>
      <c r="F72" s="6">
        <f t="shared" si="46"/>
        <v>8.9467713726143608E-2</v>
      </c>
      <c r="G72" s="2"/>
      <c r="H72" s="7">
        <v>4835</v>
      </c>
      <c r="I72" s="2"/>
      <c r="J72" s="6">
        <f t="shared" si="47"/>
        <v>2.9051601893912083E-2</v>
      </c>
      <c r="K72" s="2"/>
      <c r="L72" s="7">
        <f t="shared" si="48"/>
        <v>-351.32999999999993</v>
      </c>
      <c r="M72" s="2"/>
      <c r="N72" s="6">
        <f t="shared" si="49"/>
        <v>-7.2663908996897605E-2</v>
      </c>
      <c r="O72" s="11"/>
      <c r="P72" s="7">
        <v>41981.36</v>
      </c>
      <c r="Q72" s="2"/>
      <c r="R72" s="6">
        <f t="shared" si="50"/>
        <v>0.12760723097996504</v>
      </c>
      <c r="S72" s="2"/>
      <c r="T72" s="7">
        <v>38680</v>
      </c>
      <c r="U72" s="2"/>
      <c r="V72" s="6">
        <f t="shared" si="51"/>
        <v>7.4143506405132537E-2</v>
      </c>
      <c r="W72" s="2"/>
      <c r="X72" s="7">
        <f t="shared" si="52"/>
        <v>3301.3600000000006</v>
      </c>
      <c r="Y72" s="2"/>
      <c r="Z72" s="6">
        <f t="shared" si="53"/>
        <v>8.5350568769389887E-2</v>
      </c>
    </row>
    <row r="73" spans="1:26" s="28" customFormat="1" outlineLevel="1" collapsed="1" x14ac:dyDescent="0.25">
      <c r="A73" s="29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SUM(OSRRefD22_11x_0)</f>
        <v>11554</v>
      </c>
      <c r="E73" s="1"/>
      <c r="F73" s="5">
        <f t="shared" si="46"/>
        <v>0.23054996562901889</v>
      </c>
      <c r="G73" s="1"/>
      <c r="H73" s="1">
        <f>SUM(OSRRefH22_11x_0)</f>
        <v>11554</v>
      </c>
      <c r="I73" s="1"/>
      <c r="J73" s="5">
        <f t="shared" si="47"/>
        <v>6.9423414329319588E-2</v>
      </c>
      <c r="K73" s="1"/>
      <c r="L73" s="1">
        <f t="shared" si="48"/>
        <v>0</v>
      </c>
      <c r="M73" s="1"/>
      <c r="N73" s="5">
        <f t="shared" si="49"/>
        <v>0</v>
      </c>
      <c r="O73" s="14"/>
      <c r="P73" s="1">
        <f>SUM(OSRRefP22_11x_0)</f>
        <v>91683</v>
      </c>
      <c r="Q73" s="1"/>
      <c r="R73" s="5">
        <f t="shared" si="50"/>
        <v>0.27868115177631536</v>
      </c>
      <c r="S73" s="1"/>
      <c r="T73" s="1">
        <f>SUM(OSRRefT22_11x_0)</f>
        <v>92432</v>
      </c>
      <c r="U73" s="1"/>
      <c r="V73" s="5">
        <f t="shared" si="51"/>
        <v>0.17717767797412645</v>
      </c>
      <c r="W73" s="1"/>
      <c r="X73" s="1">
        <f t="shared" si="52"/>
        <v>-749</v>
      </c>
      <c r="Y73" s="1"/>
      <c r="Z73" s="5">
        <f t="shared" si="53"/>
        <v>-8.1032542842305703E-3</v>
      </c>
    </row>
    <row r="74" spans="1:26" s="24" customFormat="1" hidden="1" outlineLevel="2" x14ac:dyDescent="0.25">
      <c r="A74" s="27"/>
      <c r="B74" s="11" t="str">
        <f>CONCATENATE("          ", "6401", " - ", "INTEREST EXPENSE")</f>
        <v xml:space="preserve">          6401 - INTEREST EXPENSE</v>
      </c>
      <c r="C74" s="11"/>
      <c r="D74" s="7">
        <v>11554</v>
      </c>
      <c r="E74" s="2"/>
      <c r="F74" s="6">
        <f t="shared" si="46"/>
        <v>0.23054996562901889</v>
      </c>
      <c r="G74" s="2"/>
      <c r="H74" s="7">
        <v>11554</v>
      </c>
      <c r="I74" s="2"/>
      <c r="J74" s="6">
        <f t="shared" si="47"/>
        <v>6.9423414329319588E-2</v>
      </c>
      <c r="K74" s="2"/>
      <c r="L74" s="7">
        <f t="shared" si="48"/>
        <v>0</v>
      </c>
      <c r="M74" s="2"/>
      <c r="N74" s="6">
        <f t="shared" si="49"/>
        <v>0</v>
      </c>
      <c r="O74" s="11"/>
      <c r="P74" s="7">
        <v>91683</v>
      </c>
      <c r="Q74" s="2"/>
      <c r="R74" s="6">
        <f t="shared" si="50"/>
        <v>0.27868115177631536</v>
      </c>
      <c r="S74" s="2"/>
      <c r="T74" s="7">
        <v>92432</v>
      </c>
      <c r="U74" s="2"/>
      <c r="V74" s="6">
        <f t="shared" si="51"/>
        <v>0.17717767797412645</v>
      </c>
      <c r="W74" s="2"/>
      <c r="X74" s="7">
        <f t="shared" si="52"/>
        <v>-749</v>
      </c>
      <c r="Y74" s="2"/>
      <c r="Z74" s="6">
        <f t="shared" si="53"/>
        <v>-8.1032542842305703E-3</v>
      </c>
    </row>
    <row r="75" spans="1:26" s="28" customFormat="1" outlineLevel="1" collapsed="1" x14ac:dyDescent="0.25">
      <c r="A75" s="29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SUM(OSRRefD22_12x_0)</f>
        <v>0</v>
      </c>
      <c r="E75" s="1"/>
      <c r="F75" s="5">
        <f t="shared" si="46"/>
        <v>0</v>
      </c>
      <c r="G75" s="1"/>
      <c r="H75" s="1">
        <f>SUM(OSRRefH22_12x_0)</f>
        <v>1943</v>
      </c>
      <c r="I75" s="1"/>
      <c r="J75" s="5">
        <f t="shared" si="47"/>
        <v>1.1674718196457327E-2</v>
      </c>
      <c r="K75" s="1"/>
      <c r="L75" s="1">
        <f t="shared" si="48"/>
        <v>-1943</v>
      </c>
      <c r="M75" s="1"/>
      <c r="N75" s="5">
        <f t="shared" si="49"/>
        <v>-1</v>
      </c>
      <c r="O75" s="14"/>
      <c r="P75" s="1">
        <f>SUM(OSRRefP22_12x_0)</f>
        <v>11100</v>
      </c>
      <c r="Q75" s="1"/>
      <c r="R75" s="5">
        <f t="shared" si="50"/>
        <v>3.3739742206484305E-2</v>
      </c>
      <c r="S75" s="1"/>
      <c r="T75" s="1">
        <f>SUM(OSRRefT22_12x_0)</f>
        <v>15544</v>
      </c>
      <c r="U75" s="1"/>
      <c r="V75" s="5">
        <f t="shared" si="51"/>
        <v>2.9795415293727513E-2</v>
      </c>
      <c r="W75" s="1"/>
      <c r="X75" s="1">
        <f t="shared" si="52"/>
        <v>-4444</v>
      </c>
      <c r="Y75" s="1"/>
      <c r="Z75" s="5">
        <f t="shared" si="53"/>
        <v>-0.28589809572825525</v>
      </c>
    </row>
    <row r="76" spans="1:26" s="24" customFormat="1" hidden="1" outlineLevel="2" x14ac:dyDescent="0.25">
      <c r="A76" s="27"/>
      <c r="B76" s="11" t="str">
        <f>CONCATENATE("          ", "6273", " - ", "RENT")</f>
        <v xml:space="preserve">          6273 - RENT</v>
      </c>
      <c r="C76" s="11"/>
      <c r="D76" s="7"/>
      <c r="E76" s="2"/>
      <c r="F76" s="6">
        <f t="shared" si="46"/>
        <v>0</v>
      </c>
      <c r="G76" s="2"/>
      <c r="H76" s="7">
        <v>1943</v>
      </c>
      <c r="I76" s="2"/>
      <c r="J76" s="6">
        <f t="shared" si="47"/>
        <v>1.1674718196457327E-2</v>
      </c>
      <c r="K76" s="2"/>
      <c r="L76" s="7">
        <f t="shared" si="48"/>
        <v>-1943</v>
      </c>
      <c r="M76" s="2"/>
      <c r="N76" s="6">
        <f t="shared" si="49"/>
        <v>-1</v>
      </c>
      <c r="O76" s="11"/>
      <c r="P76" s="7">
        <v>11100</v>
      </c>
      <c r="Q76" s="2"/>
      <c r="R76" s="6">
        <f t="shared" si="50"/>
        <v>3.3739742206484305E-2</v>
      </c>
      <c r="S76" s="2"/>
      <c r="T76" s="7">
        <v>15544</v>
      </c>
      <c r="U76" s="2"/>
      <c r="V76" s="6">
        <f t="shared" si="51"/>
        <v>2.9795415293727513E-2</v>
      </c>
      <c r="W76" s="2"/>
      <c r="X76" s="7">
        <f t="shared" si="52"/>
        <v>-4444</v>
      </c>
      <c r="Y76" s="2"/>
      <c r="Z76" s="6">
        <f t="shared" si="53"/>
        <v>-0.28589809572825525</v>
      </c>
    </row>
    <row r="77" spans="1:26" s="28" customFormat="1" outlineLevel="1" collapsed="1" x14ac:dyDescent="0.25">
      <c r="A77" s="29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SUM(OSRRefD22_13x_0)</f>
        <v>2144.13</v>
      </c>
      <c r="E77" s="1"/>
      <c r="F77" s="5">
        <f t="shared" si="46"/>
        <v>4.2784239034459784E-2</v>
      </c>
      <c r="G77" s="1"/>
      <c r="H77" s="1">
        <f>SUM(OSRRefH22_13x_0)</f>
        <v>1356</v>
      </c>
      <c r="I77" s="1"/>
      <c r="J77" s="5">
        <f t="shared" si="47"/>
        <v>8.1476674598024365E-3</v>
      </c>
      <c r="K77" s="1"/>
      <c r="L77" s="1">
        <f t="shared" si="48"/>
        <v>788.13000000000011</v>
      </c>
      <c r="M77" s="1"/>
      <c r="N77" s="5">
        <f t="shared" si="49"/>
        <v>0.58121681415929216</v>
      </c>
      <c r="O77" s="14"/>
      <c r="P77" s="1">
        <f>SUM(OSRRefP22_13x_0)</f>
        <v>27204.170000000002</v>
      </c>
      <c r="Q77" s="1"/>
      <c r="R77" s="5">
        <f t="shared" si="50"/>
        <v>8.2690241688412089E-2</v>
      </c>
      <c r="S77" s="1"/>
      <c r="T77" s="1">
        <f>SUM(OSRRefT22_13x_0)</f>
        <v>24035</v>
      </c>
      <c r="U77" s="1"/>
      <c r="V77" s="5">
        <f t="shared" si="51"/>
        <v>4.6071333413840759E-2</v>
      </c>
      <c r="W77" s="1"/>
      <c r="X77" s="1">
        <f t="shared" si="52"/>
        <v>3169.1700000000019</v>
      </c>
      <c r="Y77" s="1"/>
      <c r="Z77" s="5">
        <f t="shared" si="53"/>
        <v>0.13185645933014362</v>
      </c>
    </row>
    <row r="78" spans="1:26" s="24" customFormat="1" hidden="1" outlineLevel="2" x14ac:dyDescent="0.25">
      <c r="A78" s="27"/>
      <c r="B78" s="11" t="str">
        <f>CONCATENATE("          ", "6371", " - ", "COMPUTER SOFTWARE MAINTENANCE")</f>
        <v xml:space="preserve">          6371 - COMPUTER SOFTWARE MAINTENANCE</v>
      </c>
      <c r="C78" s="11"/>
      <c r="D78" s="7">
        <v>702.27</v>
      </c>
      <c r="E78" s="2"/>
      <c r="F78" s="6">
        <f t="shared" si="46"/>
        <v>1.4013183690695092E-2</v>
      </c>
      <c r="G78" s="2"/>
      <c r="H78" s="7"/>
      <c r="I78" s="2"/>
      <c r="J78" s="6">
        <f t="shared" si="47"/>
        <v>0</v>
      </c>
      <c r="K78" s="2"/>
      <c r="L78" s="7">
        <f t="shared" si="48"/>
        <v>702.27</v>
      </c>
      <c r="M78" s="2"/>
      <c r="N78" s="6">
        <f t="shared" si="49"/>
        <v>0</v>
      </c>
      <c r="O78" s="11"/>
      <c r="P78" s="7">
        <v>702.27</v>
      </c>
      <c r="Q78" s="2"/>
      <c r="R78" s="6">
        <f t="shared" si="50"/>
        <v>2.1346314197610568E-3</v>
      </c>
      <c r="S78" s="2"/>
      <c r="T78" s="7">
        <v>43</v>
      </c>
      <c r="U78" s="2"/>
      <c r="V78" s="6">
        <f t="shared" si="51"/>
        <v>8.242427030560236E-5</v>
      </c>
      <c r="W78" s="2"/>
      <c r="X78" s="7">
        <f t="shared" si="52"/>
        <v>659.27</v>
      </c>
      <c r="Y78" s="2"/>
      <c r="Z78" s="6">
        <f t="shared" si="53"/>
        <v>15.331860465116279</v>
      </c>
    </row>
    <row r="79" spans="1:26" s="24" customFormat="1" hidden="1" outlineLevel="2" x14ac:dyDescent="0.25">
      <c r="A79" s="27"/>
      <c r="B79" s="11" t="str">
        <f>CONCATENATE("          ", "6372", " - ", "COMPUTER HARDWARE MAINTENANCE")</f>
        <v xml:space="preserve">          6372 - COMPUTER HARDWARE MAINTENANCE</v>
      </c>
      <c r="C79" s="11"/>
      <c r="D79" s="7"/>
      <c r="E79" s="2"/>
      <c r="F79" s="6">
        <f t="shared" si="46"/>
        <v>0</v>
      </c>
      <c r="G79" s="2"/>
      <c r="H79" s="7"/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437</v>
      </c>
      <c r="U79" s="2"/>
      <c r="V79" s="6">
        <f t="shared" si="51"/>
        <v>8.3766060752437743E-4</v>
      </c>
      <c r="W79" s="2"/>
      <c r="X79" s="7">
        <f t="shared" si="52"/>
        <v>-437</v>
      </c>
      <c r="Y79" s="2"/>
      <c r="Z79" s="6">
        <f t="shared" si="53"/>
        <v>-1</v>
      </c>
    </row>
    <row r="80" spans="1:26" s="24" customFormat="1" hidden="1" outlineLevel="2" x14ac:dyDescent="0.25">
      <c r="A80" s="27"/>
      <c r="B80" s="11" t="str">
        <f>CONCATENATE("          ", "6373", " - ", "MAINTENANCE CONTRACTS")</f>
        <v xml:space="preserve">          6373 - MAINTENANCE CONTRACTS</v>
      </c>
      <c r="C80" s="11"/>
      <c r="D80" s="7"/>
      <c r="E80" s="2"/>
      <c r="F80" s="6">
        <f t="shared" si="46"/>
        <v>0</v>
      </c>
      <c r="G80" s="2"/>
      <c r="H80" s="7">
        <v>0</v>
      </c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>
        <v>11978.04</v>
      </c>
      <c r="Q80" s="2"/>
      <c r="R80" s="6">
        <f t="shared" si="50"/>
        <v>3.6408647003509667E-2</v>
      </c>
      <c r="S80" s="2"/>
      <c r="T80" s="7">
        <v>4000</v>
      </c>
      <c r="U80" s="2"/>
      <c r="V80" s="6">
        <f t="shared" si="51"/>
        <v>7.6673739819164985E-3</v>
      </c>
      <c r="W80" s="2"/>
      <c r="X80" s="7">
        <f t="shared" si="52"/>
        <v>7978.0400000000009</v>
      </c>
      <c r="Y80" s="2"/>
      <c r="Z80" s="6">
        <f t="shared" si="53"/>
        <v>1.9945100000000002</v>
      </c>
    </row>
    <row r="81" spans="1:26" s="24" customFormat="1" hidden="1" outlineLevel="2" x14ac:dyDescent="0.25">
      <c r="A81" s="27"/>
      <c r="B81" s="11" t="str">
        <f>CONCATENATE("          ", "6375", " - ", "OUTSIDE REPAIRS &amp; MAINTENANCE")</f>
        <v xml:space="preserve">          6375 - OUTSIDE REPAIRS &amp; MAINTENANCE</v>
      </c>
      <c r="C81" s="11"/>
      <c r="D81" s="7">
        <v>1441.86</v>
      </c>
      <c r="E81" s="2"/>
      <c r="F81" s="6">
        <f t="shared" si="46"/>
        <v>2.8771055343764684E-2</v>
      </c>
      <c r="G81" s="2"/>
      <c r="H81" s="7">
        <v>1356</v>
      </c>
      <c r="I81" s="2"/>
      <c r="J81" s="6">
        <f t="shared" si="47"/>
        <v>8.1476674598024365E-3</v>
      </c>
      <c r="K81" s="2"/>
      <c r="L81" s="7">
        <f t="shared" si="48"/>
        <v>85.8599999999999</v>
      </c>
      <c r="M81" s="2"/>
      <c r="N81" s="6">
        <f t="shared" si="49"/>
        <v>6.331858407079638E-2</v>
      </c>
      <c r="O81" s="11"/>
      <c r="P81" s="7">
        <v>14523.86</v>
      </c>
      <c r="Q81" s="2"/>
      <c r="R81" s="6">
        <f t="shared" si="50"/>
        <v>4.4146963265141365E-2</v>
      </c>
      <c r="S81" s="2"/>
      <c r="T81" s="7">
        <v>19555</v>
      </c>
      <c r="U81" s="2"/>
      <c r="V81" s="6">
        <f t="shared" si="51"/>
        <v>3.7483874554094285E-2</v>
      </c>
      <c r="W81" s="2"/>
      <c r="X81" s="7">
        <f t="shared" si="52"/>
        <v>-5031.1399999999994</v>
      </c>
      <c r="Y81" s="2"/>
      <c r="Z81" s="6">
        <f t="shared" si="53"/>
        <v>-0.25728151367936586</v>
      </c>
    </row>
    <row r="82" spans="1:26" s="28" customFormat="1" outlineLevel="1" collapsed="1" x14ac:dyDescent="0.25">
      <c r="A82" s="29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SUM(OSRRefD22_14x_0)</f>
        <v>0</v>
      </c>
      <c r="E82" s="1"/>
      <c r="F82" s="5">
        <f t="shared" ref="F82:F84" si="54">IF(D$12=0,0,D82/D$12)</f>
        <v>0</v>
      </c>
      <c r="G82" s="1"/>
      <c r="H82" s="1">
        <f>SUM(OSRRefH22_14x_0)</f>
        <v>2137</v>
      </c>
      <c r="I82" s="1"/>
      <c r="J82" s="5">
        <f t="shared" ref="J82:J84" si="55">IF(H$12=0,0,H82/H$12)</f>
        <v>1.2840387434806644E-2</v>
      </c>
      <c r="K82" s="1"/>
      <c r="L82" s="1">
        <f t="shared" ref="L82:L84" si="56">+D82-H82</f>
        <v>-2137</v>
      </c>
      <c r="M82" s="1"/>
      <c r="N82" s="5">
        <f t="shared" ref="N82:N84" si="57">IF(H82=0,0,L82/H82)</f>
        <v>-1</v>
      </c>
      <c r="O82" s="14"/>
      <c r="P82" s="1">
        <f>SUM(OSRRefP22_14x_0)</f>
        <v>185.7</v>
      </c>
      <c r="Q82" s="1"/>
      <c r="R82" s="5">
        <f t="shared" ref="R82:R84" si="58">IF(P$12=0,0,P82/P$12)</f>
        <v>5.6445676826523742E-4</v>
      </c>
      <c r="S82" s="1"/>
      <c r="T82" s="1">
        <f>SUM(OSRRefT22_14x_0)</f>
        <v>6223</v>
      </c>
      <c r="U82" s="1"/>
      <c r="V82" s="5">
        <f t="shared" ref="V82:V84" si="59">IF(T$12=0,0,T82/T$12)</f>
        <v>1.1928517072366593E-2</v>
      </c>
      <c r="W82" s="1"/>
      <c r="X82" s="1">
        <f t="shared" ref="X82:X84" si="60">+P82-T82</f>
        <v>-6037.3</v>
      </c>
      <c r="Y82" s="1"/>
      <c r="Z82" s="5">
        <f t="shared" ref="Z82:Z84" si="61">IF(T82=0,0,X82/T82)</f>
        <v>-0.9701590872569501</v>
      </c>
    </row>
    <row r="83" spans="1:26" s="24" customFormat="1" hidden="1" outlineLevel="2" x14ac:dyDescent="0.25">
      <c r="A83" s="27"/>
      <c r="B83" s="11" t="str">
        <f>CONCATENATE("          ", "6254", " - ", "ROYALTY &amp; COMMISSIONS")</f>
        <v xml:space="preserve">          6254 - ROYALTY &amp; COMMISSIONS</v>
      </c>
      <c r="C83" s="11"/>
      <c r="D83" s="7"/>
      <c r="E83" s="2"/>
      <c r="F83" s="6">
        <f t="shared" si="54"/>
        <v>0</v>
      </c>
      <c r="G83" s="2"/>
      <c r="H83" s="7">
        <v>0</v>
      </c>
      <c r="I83" s="2"/>
      <c r="J83" s="6">
        <f t="shared" si="55"/>
        <v>0</v>
      </c>
      <c r="K83" s="2"/>
      <c r="L83" s="7">
        <f t="shared" si="56"/>
        <v>0</v>
      </c>
      <c r="M83" s="2"/>
      <c r="N83" s="6">
        <f t="shared" si="57"/>
        <v>0</v>
      </c>
      <c r="O83" s="11"/>
      <c r="P83" s="7">
        <v>185.7</v>
      </c>
      <c r="Q83" s="2"/>
      <c r="R83" s="6">
        <f t="shared" si="58"/>
        <v>5.6445676826523742E-4</v>
      </c>
      <c r="S83" s="2"/>
      <c r="T83" s="7">
        <v>0</v>
      </c>
      <c r="U83" s="2"/>
      <c r="V83" s="6">
        <f t="shared" si="59"/>
        <v>0</v>
      </c>
      <c r="W83" s="2"/>
      <c r="X83" s="7">
        <f t="shared" si="60"/>
        <v>185.7</v>
      </c>
      <c r="Y83" s="2"/>
      <c r="Z83" s="6">
        <f t="shared" si="61"/>
        <v>0</v>
      </c>
    </row>
    <row r="84" spans="1:26" s="24" customFormat="1" hidden="1" outlineLevel="2" x14ac:dyDescent="0.25">
      <c r="A84" s="27"/>
      <c r="B84" s="11" t="str">
        <f>CONCATENATE("          ", "6259", " - ", "ROYALTY &amp; COMMISSIONS")</f>
        <v xml:space="preserve">          6259 - ROYALTY &amp; COMMISSIONS</v>
      </c>
      <c r="C84" s="11"/>
      <c r="D84" s="7"/>
      <c r="E84" s="2"/>
      <c r="F84" s="6">
        <f t="shared" si="54"/>
        <v>0</v>
      </c>
      <c r="G84" s="2"/>
      <c r="H84" s="7">
        <v>2137</v>
      </c>
      <c r="I84" s="2"/>
      <c r="J84" s="6">
        <f t="shared" si="55"/>
        <v>1.2840387434806644E-2</v>
      </c>
      <c r="K84" s="2"/>
      <c r="L84" s="7">
        <f t="shared" si="56"/>
        <v>-2137</v>
      </c>
      <c r="M84" s="2"/>
      <c r="N84" s="6">
        <f t="shared" si="57"/>
        <v>-1</v>
      </c>
      <c r="O84" s="11"/>
      <c r="P84" s="7"/>
      <c r="Q84" s="2"/>
      <c r="R84" s="6">
        <f t="shared" si="58"/>
        <v>0</v>
      </c>
      <c r="S84" s="2"/>
      <c r="T84" s="7">
        <v>6223</v>
      </c>
      <c r="U84" s="2"/>
      <c r="V84" s="6">
        <f t="shared" si="59"/>
        <v>1.1928517072366593E-2</v>
      </c>
      <c r="W84" s="2"/>
      <c r="X84" s="7">
        <f t="shared" si="60"/>
        <v>-6223</v>
      </c>
      <c r="Y84" s="2"/>
      <c r="Z84" s="6">
        <f t="shared" si="61"/>
        <v>-1</v>
      </c>
    </row>
    <row r="85" spans="1:26" s="28" customFormat="1" outlineLevel="1" collapsed="1" x14ac:dyDescent="0.25">
      <c r="A85" s="29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SUM(OSRRefD22_15x_0)</f>
        <v>6538.14</v>
      </c>
      <c r="E85" s="1"/>
      <c r="F85" s="5">
        <f t="shared" ref="F85:F90" si="62">IF(D$12=0,0,D85/D$12)</f>
        <v>0.13046286587136174</v>
      </c>
      <c r="G85" s="1"/>
      <c r="H85" s="1">
        <f>SUM(OSRRefH22_15x_0)</f>
        <v>8363</v>
      </c>
      <c r="I85" s="1"/>
      <c r="J85" s="5">
        <f t="shared" ref="J85:J90" si="63">IF(H$12=0,0,H85/H$12)</f>
        <v>5.0249957939769753E-2</v>
      </c>
      <c r="K85" s="1"/>
      <c r="L85" s="1">
        <f t="shared" ref="L85:L90" si="64">+D85-H85</f>
        <v>-1824.8599999999997</v>
      </c>
      <c r="M85" s="1"/>
      <c r="N85" s="5">
        <f t="shared" ref="N85:N90" si="65">IF(H85=0,0,L85/H85)</f>
        <v>-0.2182063852684443</v>
      </c>
      <c r="O85" s="14"/>
      <c r="P85" s="1">
        <f>SUM(OSRRefP22_15x_0)</f>
        <v>51951.040000000001</v>
      </c>
      <c r="Q85" s="1"/>
      <c r="R85" s="5">
        <f t="shared" ref="R85:R90" si="66">IF(P$12=0,0,P85/P$12)</f>
        <v>0.15791123396024814</v>
      </c>
      <c r="S85" s="1"/>
      <c r="T85" s="1">
        <f>SUM(OSRRefT22_15x_0)</f>
        <v>66172</v>
      </c>
      <c r="U85" s="1"/>
      <c r="V85" s="5">
        <f t="shared" ref="V85:V90" si="67">IF(T$12=0,0,T85/T$12)</f>
        <v>0.12684136778284463</v>
      </c>
      <c r="W85" s="1"/>
      <c r="X85" s="1">
        <f t="shared" ref="X85:X90" si="68">+P85-T85</f>
        <v>-14220.96</v>
      </c>
      <c r="Y85" s="1"/>
      <c r="Z85" s="5">
        <f t="shared" ref="Z85:Z90" si="69">IF(T85=0,0,X85/T85)</f>
        <v>-0.21490902496524208</v>
      </c>
    </row>
    <row r="86" spans="1:26" s="24" customFormat="1" hidden="1" outlineLevel="2" x14ac:dyDescent="0.25">
      <c r="A86" s="27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768.19</v>
      </c>
      <c r="E86" s="2"/>
      <c r="F86" s="6">
        <f t="shared" si="62"/>
        <v>1.532855964138446E-2</v>
      </c>
      <c r="G86" s="2"/>
      <c r="H86" s="7">
        <v>941</v>
      </c>
      <c r="I86" s="2"/>
      <c r="J86" s="6">
        <f t="shared" si="63"/>
        <v>5.6540966664263221E-3</v>
      </c>
      <c r="K86" s="2"/>
      <c r="L86" s="7">
        <f t="shared" si="64"/>
        <v>-172.80999999999995</v>
      </c>
      <c r="M86" s="2"/>
      <c r="N86" s="6">
        <f t="shared" si="65"/>
        <v>-0.18364505844845902</v>
      </c>
      <c r="O86" s="11"/>
      <c r="P86" s="7">
        <v>8318.1200000000008</v>
      </c>
      <c r="Q86" s="2"/>
      <c r="R86" s="6">
        <f t="shared" si="66"/>
        <v>2.528389409392804E-2</v>
      </c>
      <c r="S86" s="2"/>
      <c r="T86" s="7">
        <v>9682</v>
      </c>
      <c r="U86" s="2"/>
      <c r="V86" s="6">
        <f t="shared" si="67"/>
        <v>1.8558878723228884E-2</v>
      </c>
      <c r="W86" s="2"/>
      <c r="X86" s="7">
        <f t="shared" si="68"/>
        <v>-1363.8799999999992</v>
      </c>
      <c r="Y86" s="2"/>
      <c r="Z86" s="6">
        <f t="shared" si="69"/>
        <v>-0.14086758934104515</v>
      </c>
    </row>
    <row r="87" spans="1:26" s="24" customFormat="1" hidden="1" outlineLevel="2" x14ac:dyDescent="0.25">
      <c r="A87" s="27"/>
      <c r="B87" s="11" t="str">
        <f>CONCATENATE("          ", "6283", " - ", "PLANT SERVICE")</f>
        <v xml:space="preserve">          6283 - PLANT SERVICE</v>
      </c>
      <c r="C87" s="11"/>
      <c r="D87" s="7"/>
      <c r="E87" s="2"/>
      <c r="F87" s="6">
        <f t="shared" si="62"/>
        <v>0</v>
      </c>
      <c r="G87" s="2"/>
      <c r="H87" s="7">
        <v>62</v>
      </c>
      <c r="I87" s="2"/>
      <c r="J87" s="6">
        <f t="shared" si="63"/>
        <v>3.7253346792607016E-4</v>
      </c>
      <c r="K87" s="2"/>
      <c r="L87" s="7">
        <f t="shared" si="64"/>
        <v>-62</v>
      </c>
      <c r="M87" s="2"/>
      <c r="N87" s="6">
        <f t="shared" si="65"/>
        <v>-1</v>
      </c>
      <c r="O87" s="11"/>
      <c r="P87" s="7"/>
      <c r="Q87" s="2"/>
      <c r="R87" s="6">
        <f t="shared" si="66"/>
        <v>0</v>
      </c>
      <c r="S87" s="2"/>
      <c r="T87" s="7">
        <v>310</v>
      </c>
      <c r="U87" s="2"/>
      <c r="V87" s="6">
        <f t="shared" si="67"/>
        <v>5.9422148359852866E-4</v>
      </c>
      <c r="W87" s="2"/>
      <c r="X87" s="7">
        <f t="shared" si="68"/>
        <v>-310</v>
      </c>
      <c r="Y87" s="2"/>
      <c r="Z87" s="6">
        <f t="shared" si="69"/>
        <v>-1</v>
      </c>
    </row>
    <row r="88" spans="1:26" s="24" customFormat="1" hidden="1" outlineLevel="2" x14ac:dyDescent="0.25">
      <c r="A88" s="27"/>
      <c r="B88" s="11" t="str">
        <f>CONCATENATE("          ", "6284", " - ", "TRASH REMOVAL EXPENSE")</f>
        <v xml:space="preserve">          6284 - TRASH REMOVAL EXPENSE</v>
      </c>
      <c r="C88" s="11"/>
      <c r="D88" s="7">
        <v>5658</v>
      </c>
      <c r="E88" s="2"/>
      <c r="F88" s="6">
        <f t="shared" si="62"/>
        <v>0.11290044188410844</v>
      </c>
      <c r="G88" s="2"/>
      <c r="H88" s="7">
        <v>3550</v>
      </c>
      <c r="I88" s="2"/>
      <c r="J88" s="6">
        <f t="shared" si="63"/>
        <v>2.1330545340928209E-2</v>
      </c>
      <c r="K88" s="2"/>
      <c r="L88" s="7">
        <f t="shared" si="64"/>
        <v>2108</v>
      </c>
      <c r="M88" s="2"/>
      <c r="N88" s="6">
        <f t="shared" si="65"/>
        <v>0.59380281690140846</v>
      </c>
      <c r="O88" s="11"/>
      <c r="P88" s="7">
        <v>30762</v>
      </c>
      <c r="Q88" s="2"/>
      <c r="R88" s="6">
        <f t="shared" si="66"/>
        <v>9.3504680158186498E-2</v>
      </c>
      <c r="S88" s="2"/>
      <c r="T88" s="7">
        <v>26191</v>
      </c>
      <c r="U88" s="2"/>
      <c r="V88" s="6">
        <f t="shared" si="67"/>
        <v>5.0204047990093752E-2</v>
      </c>
      <c r="W88" s="2"/>
      <c r="X88" s="7">
        <f t="shared" si="68"/>
        <v>4571</v>
      </c>
      <c r="Y88" s="2"/>
      <c r="Z88" s="6">
        <f t="shared" si="69"/>
        <v>0.17452560039708298</v>
      </c>
    </row>
    <row r="89" spans="1:26" s="24" customFormat="1" hidden="1" outlineLevel="2" x14ac:dyDescent="0.25">
      <c r="A89" s="27"/>
      <c r="B89" s="11" t="str">
        <f>CONCATENATE("          ", "6285", " - ", "JANITORIAL SERVICES")</f>
        <v xml:space="preserve">          6285 - JANITORIAL SERVICES</v>
      </c>
      <c r="C89" s="11"/>
      <c r="D89" s="7"/>
      <c r="E89" s="2"/>
      <c r="F89" s="6">
        <f t="shared" si="62"/>
        <v>0</v>
      </c>
      <c r="G89" s="2"/>
      <c r="H89" s="7">
        <v>3706</v>
      </c>
      <c r="I89" s="2"/>
      <c r="J89" s="6">
        <f t="shared" si="63"/>
        <v>2.2267887615064774E-2</v>
      </c>
      <c r="K89" s="2"/>
      <c r="L89" s="7">
        <f t="shared" si="64"/>
        <v>-3706</v>
      </c>
      <c r="M89" s="2"/>
      <c r="N89" s="6">
        <f t="shared" si="65"/>
        <v>-1</v>
      </c>
      <c r="O89" s="11"/>
      <c r="P89" s="7">
        <v>11966.21</v>
      </c>
      <c r="Q89" s="2"/>
      <c r="R89" s="6">
        <f t="shared" si="66"/>
        <v>3.6372688341320229E-2</v>
      </c>
      <c r="S89" s="2"/>
      <c r="T89" s="7">
        <v>29164</v>
      </c>
      <c r="U89" s="2"/>
      <c r="V89" s="6">
        <f t="shared" si="67"/>
        <v>5.5902823702153187E-2</v>
      </c>
      <c r="W89" s="2"/>
      <c r="X89" s="7">
        <f t="shared" si="68"/>
        <v>-17197.79</v>
      </c>
      <c r="Y89" s="2"/>
      <c r="Z89" s="6">
        <f t="shared" si="69"/>
        <v>-0.58969242902208208</v>
      </c>
    </row>
    <row r="90" spans="1:26" s="24" customFormat="1" hidden="1" outlineLevel="2" x14ac:dyDescent="0.25">
      <c r="A90" s="27"/>
      <c r="B90" s="11" t="str">
        <f>CONCATENATE("          ", "6286", " - ", "LAUNDRY EXPENSE")</f>
        <v xml:space="preserve">          6286 - LAUNDRY EXPENSE</v>
      </c>
      <c r="C90" s="11"/>
      <c r="D90" s="7">
        <v>111.95</v>
      </c>
      <c r="E90" s="2"/>
      <c r="F90" s="6">
        <f t="shared" si="62"/>
        <v>2.2338643458688478E-3</v>
      </c>
      <c r="G90" s="2"/>
      <c r="H90" s="7">
        <v>104</v>
      </c>
      <c r="I90" s="2"/>
      <c r="J90" s="6">
        <f t="shared" si="63"/>
        <v>6.2489484942437575E-4</v>
      </c>
      <c r="K90" s="2"/>
      <c r="L90" s="7">
        <f t="shared" si="64"/>
        <v>7.9500000000000028</v>
      </c>
      <c r="M90" s="2"/>
      <c r="N90" s="6">
        <f t="shared" si="65"/>
        <v>7.6442307692307726E-2</v>
      </c>
      <c r="O90" s="11"/>
      <c r="P90" s="7">
        <v>904.71</v>
      </c>
      <c r="Q90" s="2"/>
      <c r="R90" s="6">
        <f t="shared" si="66"/>
        <v>2.7499713668133708E-3</v>
      </c>
      <c r="S90" s="2"/>
      <c r="T90" s="7">
        <v>825</v>
      </c>
      <c r="U90" s="2"/>
      <c r="V90" s="6">
        <f t="shared" si="67"/>
        <v>1.5813958837702779E-3</v>
      </c>
      <c r="W90" s="2"/>
      <c r="X90" s="7">
        <f t="shared" si="68"/>
        <v>79.710000000000036</v>
      </c>
      <c r="Y90" s="2"/>
      <c r="Z90" s="6">
        <f t="shared" si="69"/>
        <v>9.6618181818181867E-2</v>
      </c>
    </row>
    <row r="91" spans="1:26" s="28" customFormat="1" outlineLevel="1" collapsed="1" x14ac:dyDescent="0.25">
      <c r="A91" s="29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SUM(OSRRefD22_16x_0)</f>
        <v>262.83999999999997</v>
      </c>
      <c r="E91" s="1"/>
      <c r="F91" s="5">
        <f t="shared" ref="F91:F93" si="70">IF(D$12=0,0,D91/D$12)</f>
        <v>5.2447423373663945E-3</v>
      </c>
      <c r="G91" s="1"/>
      <c r="H91" s="1">
        <f>SUM(OSRRefH22_16x_0)</f>
        <v>378</v>
      </c>
      <c r="I91" s="1"/>
      <c r="J91" s="5">
        <f t="shared" ref="J91:J93" si="71">IF(H$12=0,0,H91/H$12)</f>
        <v>2.2712524334847503E-3</v>
      </c>
      <c r="K91" s="1"/>
      <c r="L91" s="1">
        <f t="shared" ref="L91:L93" si="72">+D91-H91</f>
        <v>-115.16000000000003</v>
      </c>
      <c r="M91" s="1"/>
      <c r="N91" s="5">
        <f t="shared" ref="N91:N93" si="73">IF(H91=0,0,L91/H91)</f>
        <v>-0.30465608465608474</v>
      </c>
      <c r="O91" s="14"/>
      <c r="P91" s="1">
        <f>SUM(OSRRefP22_16x_0)</f>
        <v>797.01</v>
      </c>
      <c r="Q91" s="1"/>
      <c r="R91" s="5">
        <f t="shared" ref="R91:R93" si="74">IF(P$12=0,0,P91/P$12)</f>
        <v>2.422604678918023E-3</v>
      </c>
      <c r="S91" s="1"/>
      <c r="T91" s="1">
        <f>SUM(OSRRefT22_16x_0)</f>
        <v>3889</v>
      </c>
      <c r="U91" s="1"/>
      <c r="V91" s="5">
        <f t="shared" ref="V91:V93" si="75">IF(T$12=0,0,T91/T$12)</f>
        <v>7.4546043539183158E-3</v>
      </c>
      <c r="W91" s="1"/>
      <c r="X91" s="1">
        <f t="shared" ref="X91:X93" si="76">+P91-T91</f>
        <v>-3091.99</v>
      </c>
      <c r="Y91" s="1"/>
      <c r="Z91" s="5">
        <f t="shared" ref="Z91:Z93" si="77">IF(T91=0,0,X91/T91)</f>
        <v>-0.79506042684494727</v>
      </c>
    </row>
    <row r="92" spans="1:26" s="24" customFormat="1" hidden="1" outlineLevel="2" x14ac:dyDescent="0.25">
      <c r="A92" s="27"/>
      <c r="B92" s="11" t="str">
        <f>CONCATENATE("          ", "6258", " - ", "MEMBERSHIP DUES")</f>
        <v xml:space="preserve">          6258 - MEMBERSHIP DUES</v>
      </c>
      <c r="C92" s="11"/>
      <c r="D92" s="7"/>
      <c r="E92" s="2"/>
      <c r="F92" s="6">
        <f t="shared" si="70"/>
        <v>0</v>
      </c>
      <c r="G92" s="2"/>
      <c r="H92" s="7"/>
      <c r="I92" s="2"/>
      <c r="J92" s="6">
        <f t="shared" si="71"/>
        <v>0</v>
      </c>
      <c r="K92" s="2"/>
      <c r="L92" s="7">
        <f t="shared" si="72"/>
        <v>0</v>
      </c>
      <c r="M92" s="2"/>
      <c r="N92" s="6">
        <f t="shared" si="73"/>
        <v>0</v>
      </c>
      <c r="O92" s="11"/>
      <c r="P92" s="7"/>
      <c r="Q92" s="2"/>
      <c r="R92" s="6">
        <f t="shared" si="74"/>
        <v>0</v>
      </c>
      <c r="S92" s="2"/>
      <c r="T92" s="7">
        <v>900</v>
      </c>
      <c r="U92" s="2"/>
      <c r="V92" s="6">
        <f t="shared" si="75"/>
        <v>1.7251591459312122E-3</v>
      </c>
      <c r="W92" s="2"/>
      <c r="X92" s="7">
        <f t="shared" si="76"/>
        <v>-900</v>
      </c>
      <c r="Y92" s="2"/>
      <c r="Z92" s="6">
        <f t="shared" si="77"/>
        <v>-1</v>
      </c>
    </row>
    <row r="93" spans="1:26" s="24" customFormat="1" hidden="1" outlineLevel="2" x14ac:dyDescent="0.25">
      <c r="A93" s="27"/>
      <c r="B93" s="11" t="str">
        <f>CONCATENATE("          ", "6275", " - ", "SUBSCRIPTIONS")</f>
        <v xml:space="preserve">          6275 - SUBSCRIPTIONS</v>
      </c>
      <c r="C93" s="11"/>
      <c r="D93" s="7">
        <v>262.83999999999997</v>
      </c>
      <c r="E93" s="2"/>
      <c r="F93" s="6">
        <f t="shared" si="70"/>
        <v>5.2447423373663945E-3</v>
      </c>
      <c r="G93" s="2"/>
      <c r="H93" s="7">
        <v>378</v>
      </c>
      <c r="I93" s="2"/>
      <c r="J93" s="6">
        <f t="shared" si="71"/>
        <v>2.2712524334847503E-3</v>
      </c>
      <c r="K93" s="2"/>
      <c r="L93" s="7">
        <f t="shared" si="72"/>
        <v>-115.16000000000003</v>
      </c>
      <c r="M93" s="2"/>
      <c r="N93" s="6">
        <f t="shared" si="73"/>
        <v>-0.30465608465608474</v>
      </c>
      <c r="O93" s="11"/>
      <c r="P93" s="7">
        <v>797.01</v>
      </c>
      <c r="Q93" s="2"/>
      <c r="R93" s="6">
        <f t="shared" si="74"/>
        <v>2.422604678918023E-3</v>
      </c>
      <c r="S93" s="2"/>
      <c r="T93" s="7">
        <v>2989</v>
      </c>
      <c r="U93" s="2"/>
      <c r="V93" s="6">
        <f t="shared" si="75"/>
        <v>5.7294452079871038E-3</v>
      </c>
      <c r="W93" s="2"/>
      <c r="X93" s="7">
        <f t="shared" si="76"/>
        <v>-2191.9899999999998</v>
      </c>
      <c r="Y93" s="2"/>
      <c r="Z93" s="6">
        <f t="shared" si="77"/>
        <v>-0.73335229173636662</v>
      </c>
    </row>
    <row r="94" spans="1:26" s="28" customFormat="1" outlineLevel="1" collapsed="1" x14ac:dyDescent="0.25">
      <c r="A94" s="29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SUM(OSRRefD22_17x_0)</f>
        <v>82.73</v>
      </c>
      <c r="E94" s="1"/>
      <c r="F94" s="5">
        <f t="shared" ref="F94:F105" si="78">IF(D$12=0,0,D94/D$12)</f>
        <v>1.6508047997653397E-3</v>
      </c>
      <c r="G94" s="1"/>
      <c r="H94" s="1">
        <f>SUM(OSRRefH22_17x_0)</f>
        <v>3588</v>
      </c>
      <c r="I94" s="1"/>
      <c r="J94" s="5">
        <f t="shared" ref="J94:J105" si="79">IF(H$12=0,0,H94/H$12)</f>
        <v>2.1558872305140961E-2</v>
      </c>
      <c r="K94" s="1"/>
      <c r="L94" s="1">
        <f t="shared" ref="L94:L105" si="80">+D94-H94</f>
        <v>-3505.27</v>
      </c>
      <c r="M94" s="1"/>
      <c r="N94" s="5">
        <f t="shared" ref="N94:N105" si="81">IF(H94=0,0,L94/H94)</f>
        <v>-0.97694258639910814</v>
      </c>
      <c r="O94" s="14"/>
      <c r="P94" s="1">
        <f>SUM(OSRRefP22_17x_0)</f>
        <v>-20252.77</v>
      </c>
      <c r="Q94" s="1"/>
      <c r="R94" s="5">
        <f t="shared" ref="R94:R105" si="82">IF(P$12=0,0,P94/P$12)</f>
        <v>-6.1560652141190914E-2</v>
      </c>
      <c r="S94" s="1"/>
      <c r="T94" s="1">
        <f>SUM(OSRRefT22_17x_0)</f>
        <v>38659</v>
      </c>
      <c r="U94" s="1"/>
      <c r="V94" s="5">
        <f t="shared" ref="V94:V105" si="83">IF(T$12=0,0,T94/T$12)</f>
        <v>7.4103252691727475E-2</v>
      </c>
      <c r="W94" s="1"/>
      <c r="X94" s="1">
        <f t="shared" ref="X94:X105" si="84">+P94-T94</f>
        <v>-58911.770000000004</v>
      </c>
      <c r="Y94" s="1"/>
      <c r="Z94" s="5">
        <f t="shared" ref="Z94:Z105" si="85">IF(T94=0,0,X94/T94)</f>
        <v>-1.523882407718772</v>
      </c>
    </row>
    <row r="95" spans="1:26" s="24" customFormat="1" hidden="1" outlineLevel="2" x14ac:dyDescent="0.25">
      <c r="A95" s="27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78"/>
        <v>0</v>
      </c>
      <c r="G95" s="2"/>
      <c r="H95" s="7"/>
      <c r="I95" s="2"/>
      <c r="J95" s="6">
        <f t="shared" si="79"/>
        <v>0</v>
      </c>
      <c r="K95" s="2"/>
      <c r="L95" s="7">
        <f t="shared" si="80"/>
        <v>0</v>
      </c>
      <c r="M95" s="2"/>
      <c r="N95" s="6">
        <f t="shared" si="81"/>
        <v>0</v>
      </c>
      <c r="O95" s="11"/>
      <c r="P95" s="7">
        <v>627.58000000000004</v>
      </c>
      <c r="Q95" s="2"/>
      <c r="R95" s="6">
        <f t="shared" si="82"/>
        <v>1.9076024697248126E-3</v>
      </c>
      <c r="S95" s="2"/>
      <c r="T95" s="7">
        <v>1104</v>
      </c>
      <c r="U95" s="2"/>
      <c r="V95" s="6">
        <f t="shared" si="83"/>
        <v>2.1161952190089537E-3</v>
      </c>
      <c r="W95" s="2"/>
      <c r="X95" s="7">
        <f t="shared" si="84"/>
        <v>-476.41999999999996</v>
      </c>
      <c r="Y95" s="2"/>
      <c r="Z95" s="6">
        <f t="shared" si="85"/>
        <v>-0.43153985507246373</v>
      </c>
    </row>
    <row r="96" spans="1:26" s="24" customFormat="1" hidden="1" outlineLevel="2" x14ac:dyDescent="0.25">
      <c r="A96" s="27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78"/>
        <v>0</v>
      </c>
      <c r="G96" s="2"/>
      <c r="H96" s="7">
        <v>400</v>
      </c>
      <c r="I96" s="2"/>
      <c r="J96" s="6">
        <f t="shared" si="79"/>
        <v>2.4034417285552913E-3</v>
      </c>
      <c r="K96" s="2"/>
      <c r="L96" s="7">
        <f t="shared" si="80"/>
        <v>-400</v>
      </c>
      <c r="M96" s="2"/>
      <c r="N96" s="6">
        <f t="shared" si="81"/>
        <v>-1</v>
      </c>
      <c r="O96" s="11"/>
      <c r="P96" s="7">
        <v>7089.13</v>
      </c>
      <c r="Q96" s="2"/>
      <c r="R96" s="6">
        <f t="shared" si="82"/>
        <v>2.1548235916058926E-2</v>
      </c>
      <c r="S96" s="2"/>
      <c r="T96" s="7">
        <v>3700</v>
      </c>
      <c r="U96" s="2"/>
      <c r="V96" s="6">
        <f t="shared" si="83"/>
        <v>7.0923209332727612E-3</v>
      </c>
      <c r="W96" s="2"/>
      <c r="X96" s="7">
        <f t="shared" si="84"/>
        <v>3389.13</v>
      </c>
      <c r="Y96" s="2"/>
      <c r="Z96" s="6">
        <f t="shared" si="85"/>
        <v>0.91598108108108112</v>
      </c>
    </row>
    <row r="97" spans="1:26" s="24" customFormat="1" hidden="1" outlineLevel="2" x14ac:dyDescent="0.25">
      <c r="A97" s="27"/>
      <c r="B97" s="11" t="str">
        <f>CONCATENATE("          ", "6237", " - ", "JANITORIAL SUPPLIES")</f>
        <v xml:space="preserve">          6237 - JANITORIAL SUPPLIES</v>
      </c>
      <c r="C97" s="11"/>
      <c r="D97" s="7"/>
      <c r="E97" s="2"/>
      <c r="F97" s="6">
        <f t="shared" si="78"/>
        <v>0</v>
      </c>
      <c r="G97" s="2"/>
      <c r="H97" s="7">
        <v>1320</v>
      </c>
      <c r="I97" s="2"/>
      <c r="J97" s="6">
        <f t="shared" si="79"/>
        <v>7.9313577042324605E-3</v>
      </c>
      <c r="K97" s="2"/>
      <c r="L97" s="7">
        <f t="shared" si="80"/>
        <v>-1320</v>
      </c>
      <c r="M97" s="2"/>
      <c r="N97" s="6">
        <f t="shared" si="81"/>
        <v>-1</v>
      </c>
      <c r="O97" s="11"/>
      <c r="P97" s="7">
        <v>676.48</v>
      </c>
      <c r="Q97" s="2"/>
      <c r="R97" s="6">
        <f t="shared" si="82"/>
        <v>2.0562397124182434E-3</v>
      </c>
      <c r="S97" s="2"/>
      <c r="T97" s="7">
        <v>8540</v>
      </c>
      <c r="U97" s="2"/>
      <c r="V97" s="6">
        <f t="shared" si="83"/>
        <v>1.6369843451391725E-2</v>
      </c>
      <c r="W97" s="2"/>
      <c r="X97" s="7">
        <f t="shared" si="84"/>
        <v>-7863.52</v>
      </c>
      <c r="Y97" s="2"/>
      <c r="Z97" s="6">
        <f t="shared" si="85"/>
        <v>-0.92078688524590169</v>
      </c>
    </row>
    <row r="98" spans="1:26" s="24" customFormat="1" hidden="1" outlineLevel="2" x14ac:dyDescent="0.25">
      <c r="A98" s="27"/>
      <c r="B98" s="11" t="str">
        <f>CONCATENATE("          ", "6239", " - ", "KITCHEN SUPPLIES")</f>
        <v xml:space="preserve">          6239 - KITCHEN SUPPLIES</v>
      </c>
      <c r="C98" s="11"/>
      <c r="D98" s="7"/>
      <c r="E98" s="2"/>
      <c r="F98" s="6">
        <f t="shared" si="78"/>
        <v>0</v>
      </c>
      <c r="G98" s="2"/>
      <c r="H98" s="7">
        <v>111</v>
      </c>
      <c r="I98" s="2"/>
      <c r="J98" s="6">
        <f t="shared" si="79"/>
        <v>6.6695507967409328E-4</v>
      </c>
      <c r="K98" s="2"/>
      <c r="L98" s="7">
        <f t="shared" si="80"/>
        <v>-111</v>
      </c>
      <c r="M98" s="2"/>
      <c r="N98" s="6">
        <f t="shared" si="81"/>
        <v>-1</v>
      </c>
      <c r="O98" s="11"/>
      <c r="P98" s="7">
        <v>19.829999999999998</v>
      </c>
      <c r="Q98" s="2"/>
      <c r="R98" s="6">
        <f t="shared" si="82"/>
        <v>6.0275593509421956E-5</v>
      </c>
      <c r="S98" s="2"/>
      <c r="T98" s="7">
        <v>343</v>
      </c>
      <c r="U98" s="2"/>
      <c r="V98" s="6">
        <f t="shared" si="83"/>
        <v>6.5747731894933977E-4</v>
      </c>
      <c r="W98" s="2"/>
      <c r="X98" s="7">
        <f t="shared" si="84"/>
        <v>-323.17</v>
      </c>
      <c r="Y98" s="2"/>
      <c r="Z98" s="6">
        <f t="shared" si="85"/>
        <v>-0.94218658892128282</v>
      </c>
    </row>
    <row r="99" spans="1:26" s="24" customFormat="1" hidden="1" outlineLevel="2" x14ac:dyDescent="0.25">
      <c r="A99" s="27"/>
      <c r="B99" s="11" t="str">
        <f>CONCATENATE("          ", "6241", " - ", "OFFICE EXPENSE")</f>
        <v xml:space="preserve">          6241 - OFFICE EXPENSE</v>
      </c>
      <c r="C99" s="11"/>
      <c r="D99" s="7">
        <v>82.73</v>
      </c>
      <c r="E99" s="2"/>
      <c r="F99" s="6">
        <f t="shared" si="78"/>
        <v>1.6508047997653397E-3</v>
      </c>
      <c r="G99" s="2"/>
      <c r="H99" s="7">
        <v>25</v>
      </c>
      <c r="I99" s="2"/>
      <c r="J99" s="6">
        <f t="shared" si="79"/>
        <v>1.502151080347057E-4</v>
      </c>
      <c r="K99" s="2"/>
      <c r="L99" s="7">
        <f t="shared" si="80"/>
        <v>57.730000000000004</v>
      </c>
      <c r="M99" s="2"/>
      <c r="N99" s="6">
        <f t="shared" si="81"/>
        <v>2.3092000000000001</v>
      </c>
      <c r="O99" s="11"/>
      <c r="P99" s="7">
        <v>-28852.560000000001</v>
      </c>
      <c r="Q99" s="2"/>
      <c r="R99" s="6">
        <f t="shared" si="82"/>
        <v>-8.7700714990731607E-2</v>
      </c>
      <c r="S99" s="2"/>
      <c r="T99" s="7">
        <v>5462</v>
      </c>
      <c r="U99" s="2"/>
      <c r="V99" s="6">
        <f t="shared" si="83"/>
        <v>1.0469799172306978E-2</v>
      </c>
      <c r="W99" s="2"/>
      <c r="X99" s="7">
        <f t="shared" si="84"/>
        <v>-34314.559999999998</v>
      </c>
      <c r="Y99" s="2"/>
      <c r="Z99" s="6">
        <f t="shared" si="85"/>
        <v>-6.2824166971805191</v>
      </c>
    </row>
    <row r="100" spans="1:26" s="24" customFormat="1" hidden="1" outlineLevel="2" x14ac:dyDescent="0.25">
      <c r="A100" s="27"/>
      <c r="B100" s="11" t="str">
        <f>CONCATENATE("          ", "6243", " - ", "PAPER SUPPLIES")</f>
        <v xml:space="preserve">          6243 - PAPER SUPPLIES</v>
      </c>
      <c r="C100" s="11"/>
      <c r="D100" s="7"/>
      <c r="E100" s="2"/>
      <c r="F100" s="6">
        <f t="shared" si="78"/>
        <v>0</v>
      </c>
      <c r="G100" s="2"/>
      <c r="H100" s="7">
        <v>771</v>
      </c>
      <c r="I100" s="2"/>
      <c r="J100" s="6">
        <f t="shared" si="79"/>
        <v>4.6326339317903234E-3</v>
      </c>
      <c r="K100" s="2"/>
      <c r="L100" s="7">
        <f t="shared" si="80"/>
        <v>-771</v>
      </c>
      <c r="M100" s="2"/>
      <c r="N100" s="6">
        <f t="shared" si="81"/>
        <v>-1</v>
      </c>
      <c r="O100" s="11"/>
      <c r="P100" s="7">
        <v>65.489999999999995</v>
      </c>
      <c r="Q100" s="2"/>
      <c r="R100" s="6">
        <f t="shared" si="82"/>
        <v>1.9906447901825737E-4</v>
      </c>
      <c r="S100" s="2"/>
      <c r="T100" s="7">
        <v>5891</v>
      </c>
      <c r="U100" s="2"/>
      <c r="V100" s="6">
        <f t="shared" si="83"/>
        <v>1.1292125031867523E-2</v>
      </c>
      <c r="W100" s="2"/>
      <c r="X100" s="7">
        <f t="shared" si="84"/>
        <v>-5825.51</v>
      </c>
      <c r="Y100" s="2"/>
      <c r="Z100" s="6">
        <f t="shared" si="85"/>
        <v>-0.98888304192836529</v>
      </c>
    </row>
    <row r="101" spans="1:26" s="24" customFormat="1" hidden="1" outlineLevel="2" x14ac:dyDescent="0.25">
      <c r="A101" s="27"/>
      <c r="B101" s="11" t="str">
        <f>CONCATENATE("          ", "6244", " - ", "SAFETY SUPPLY EXPENSE")</f>
        <v xml:space="preserve">          6244 - SAFETY SUPPLY EXPENSE</v>
      </c>
      <c r="C101" s="11"/>
      <c r="D101" s="7"/>
      <c r="E101" s="2"/>
      <c r="F101" s="6">
        <f t="shared" si="78"/>
        <v>0</v>
      </c>
      <c r="G101" s="2"/>
      <c r="H101" s="7">
        <v>0</v>
      </c>
      <c r="I101" s="2"/>
      <c r="J101" s="6">
        <f t="shared" si="79"/>
        <v>0</v>
      </c>
      <c r="K101" s="2"/>
      <c r="L101" s="7">
        <f t="shared" si="80"/>
        <v>0</v>
      </c>
      <c r="M101" s="2"/>
      <c r="N101" s="6">
        <f t="shared" si="81"/>
        <v>0</v>
      </c>
      <c r="O101" s="11"/>
      <c r="P101" s="7"/>
      <c r="Q101" s="2"/>
      <c r="R101" s="6">
        <f t="shared" si="82"/>
        <v>0</v>
      </c>
      <c r="S101" s="2"/>
      <c r="T101" s="7">
        <v>0</v>
      </c>
      <c r="U101" s="2"/>
      <c r="V101" s="6">
        <f t="shared" si="83"/>
        <v>0</v>
      </c>
      <c r="W101" s="2"/>
      <c r="X101" s="7">
        <f t="shared" si="84"/>
        <v>0</v>
      </c>
      <c r="Y101" s="2"/>
      <c r="Z101" s="6">
        <f t="shared" si="85"/>
        <v>0</v>
      </c>
    </row>
    <row r="102" spans="1:26" s="24" customFormat="1" hidden="1" outlineLevel="2" x14ac:dyDescent="0.25">
      <c r="A102" s="27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78"/>
        <v>0</v>
      </c>
      <c r="G102" s="2"/>
      <c r="H102" s="7">
        <v>0</v>
      </c>
      <c r="I102" s="2"/>
      <c r="J102" s="6">
        <f t="shared" si="79"/>
        <v>0</v>
      </c>
      <c r="K102" s="2"/>
      <c r="L102" s="7">
        <f t="shared" si="80"/>
        <v>0</v>
      </c>
      <c r="M102" s="2"/>
      <c r="N102" s="6">
        <f t="shared" si="81"/>
        <v>0</v>
      </c>
      <c r="O102" s="11"/>
      <c r="P102" s="7"/>
      <c r="Q102" s="2"/>
      <c r="R102" s="6">
        <f t="shared" si="82"/>
        <v>0</v>
      </c>
      <c r="S102" s="2"/>
      <c r="T102" s="7">
        <v>0</v>
      </c>
      <c r="U102" s="2"/>
      <c r="V102" s="6">
        <f t="shared" si="83"/>
        <v>0</v>
      </c>
      <c r="W102" s="2"/>
      <c r="X102" s="7">
        <f t="shared" si="84"/>
        <v>0</v>
      </c>
      <c r="Y102" s="2"/>
      <c r="Z102" s="6">
        <f t="shared" si="85"/>
        <v>0</v>
      </c>
    </row>
    <row r="103" spans="1:26" s="24" customFormat="1" hidden="1" outlineLevel="2" x14ac:dyDescent="0.25">
      <c r="A103" s="27"/>
      <c r="B103" s="11" t="str">
        <f>CONCATENATE("          ", "6246", " - ", "REPLACEMENTS")</f>
        <v xml:space="preserve">          6246 - REPLACEMENTS</v>
      </c>
      <c r="C103" s="11"/>
      <c r="D103" s="7"/>
      <c r="E103" s="2"/>
      <c r="F103" s="6">
        <f t="shared" si="78"/>
        <v>0</v>
      </c>
      <c r="G103" s="2"/>
      <c r="H103" s="7">
        <v>0</v>
      </c>
      <c r="I103" s="2"/>
      <c r="J103" s="6">
        <f t="shared" si="79"/>
        <v>0</v>
      </c>
      <c r="K103" s="2"/>
      <c r="L103" s="7">
        <f t="shared" si="80"/>
        <v>0</v>
      </c>
      <c r="M103" s="2"/>
      <c r="N103" s="6">
        <f t="shared" si="81"/>
        <v>0</v>
      </c>
      <c r="O103" s="11"/>
      <c r="P103" s="7"/>
      <c r="Q103" s="2"/>
      <c r="R103" s="6">
        <f t="shared" si="82"/>
        <v>0</v>
      </c>
      <c r="S103" s="2"/>
      <c r="T103" s="7">
        <v>0</v>
      </c>
      <c r="U103" s="2"/>
      <c r="V103" s="6">
        <f t="shared" si="83"/>
        <v>0</v>
      </c>
      <c r="W103" s="2"/>
      <c r="X103" s="7">
        <f t="shared" si="84"/>
        <v>0</v>
      </c>
      <c r="Y103" s="2"/>
      <c r="Z103" s="6">
        <f t="shared" si="85"/>
        <v>0</v>
      </c>
    </row>
    <row r="104" spans="1:26" s="24" customFormat="1" hidden="1" outlineLevel="2" x14ac:dyDescent="0.25">
      <c r="A104" s="27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78"/>
        <v>0</v>
      </c>
      <c r="G104" s="2"/>
      <c r="H104" s="7">
        <v>961</v>
      </c>
      <c r="I104" s="2"/>
      <c r="J104" s="6">
        <f t="shared" si="79"/>
        <v>5.7742687528540872E-3</v>
      </c>
      <c r="K104" s="2"/>
      <c r="L104" s="7">
        <f t="shared" si="80"/>
        <v>-961</v>
      </c>
      <c r="M104" s="2"/>
      <c r="N104" s="6">
        <f t="shared" si="81"/>
        <v>-1</v>
      </c>
      <c r="O104" s="11"/>
      <c r="P104" s="7">
        <v>121.28</v>
      </c>
      <c r="Q104" s="2"/>
      <c r="R104" s="6">
        <f t="shared" si="82"/>
        <v>3.6864467881102849E-4</v>
      </c>
      <c r="S104" s="2"/>
      <c r="T104" s="7">
        <v>13404</v>
      </c>
      <c r="U104" s="2"/>
      <c r="V104" s="6">
        <f t="shared" si="83"/>
        <v>2.5693370213402185E-2</v>
      </c>
      <c r="W104" s="2"/>
      <c r="X104" s="7">
        <f t="shared" si="84"/>
        <v>-13282.72</v>
      </c>
      <c r="Y104" s="2"/>
      <c r="Z104" s="6">
        <f t="shared" si="85"/>
        <v>-0.99095195464040575</v>
      </c>
    </row>
    <row r="105" spans="1:26" s="24" customFormat="1" hidden="1" outlineLevel="2" x14ac:dyDescent="0.25">
      <c r="A105" s="27"/>
      <c r="B105" s="11" t="str">
        <f>CONCATENATE("          ", "6248", " - ", "UNIFORMS")</f>
        <v xml:space="preserve">          6248 - UNIFORMS</v>
      </c>
      <c r="C105" s="11"/>
      <c r="D105" s="7"/>
      <c r="E105" s="2"/>
      <c r="F105" s="6">
        <f t="shared" si="78"/>
        <v>0</v>
      </c>
      <c r="G105" s="2"/>
      <c r="H105" s="7">
        <v>0</v>
      </c>
      <c r="I105" s="2"/>
      <c r="J105" s="6">
        <f t="shared" si="79"/>
        <v>0</v>
      </c>
      <c r="K105" s="2"/>
      <c r="L105" s="7">
        <f t="shared" si="80"/>
        <v>0</v>
      </c>
      <c r="M105" s="2"/>
      <c r="N105" s="6">
        <f t="shared" si="81"/>
        <v>0</v>
      </c>
      <c r="O105" s="11"/>
      <c r="P105" s="7"/>
      <c r="Q105" s="2"/>
      <c r="R105" s="6">
        <f t="shared" si="82"/>
        <v>0</v>
      </c>
      <c r="S105" s="2"/>
      <c r="T105" s="7">
        <v>215</v>
      </c>
      <c r="U105" s="2"/>
      <c r="V105" s="6">
        <f t="shared" si="83"/>
        <v>4.1212135152801177E-4</v>
      </c>
      <c r="W105" s="2"/>
      <c r="X105" s="7">
        <f t="shared" si="84"/>
        <v>-215</v>
      </c>
      <c r="Y105" s="2"/>
      <c r="Z105" s="6">
        <f t="shared" si="85"/>
        <v>-1</v>
      </c>
    </row>
    <row r="106" spans="1:26" s="28" customFormat="1" outlineLevel="1" collapsed="1" x14ac:dyDescent="0.25">
      <c r="A106" s="29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SUM(OSRRefD22_18x_0)</f>
        <v>323.79000000000002</v>
      </c>
      <c r="E106" s="1"/>
      <c r="F106" s="5">
        <f t="shared" ref="F106:F108" si="86">IF(D$12=0,0,D106/D$12)</f>
        <v>6.4609462844919538E-3</v>
      </c>
      <c r="G106" s="1"/>
      <c r="H106" s="1">
        <f>SUM(OSRRefH22_18x_0)</f>
        <v>470</v>
      </c>
      <c r="I106" s="1"/>
      <c r="J106" s="5">
        <f t="shared" ref="J106:J108" si="87">IF(H$12=0,0,H106/H$12)</f>
        <v>2.824044031052467E-3</v>
      </c>
      <c r="K106" s="1"/>
      <c r="L106" s="1">
        <f t="shared" ref="L106:L108" si="88">+D106-H106</f>
        <v>-146.20999999999998</v>
      </c>
      <c r="M106" s="1"/>
      <c r="N106" s="5">
        <f t="shared" ref="N106:N108" si="89">IF(H106=0,0,L106/H106)</f>
        <v>-0.3110851063829787</v>
      </c>
      <c r="O106" s="14"/>
      <c r="P106" s="1">
        <f>SUM(OSRRefP22_18x_0)</f>
        <v>8208.85</v>
      </c>
      <c r="Q106" s="1"/>
      <c r="R106" s="5">
        <f t="shared" ref="R106:R108" si="90">IF(P$12=0,0,P106/P$12)</f>
        <v>2.4951755208261144E-2</v>
      </c>
      <c r="S106" s="1"/>
      <c r="T106" s="1">
        <f>SUM(OSRRefT22_18x_0)</f>
        <v>4997</v>
      </c>
      <c r="U106" s="1"/>
      <c r="V106" s="5">
        <f t="shared" ref="V106:V108" si="91">IF(T$12=0,0,T106/T$12)</f>
        <v>9.5784669469091855E-3</v>
      </c>
      <c r="W106" s="1"/>
      <c r="X106" s="1">
        <f t="shared" ref="X106:X108" si="92">+P106-T106</f>
        <v>3211.8500000000004</v>
      </c>
      <c r="Y106" s="1"/>
      <c r="Z106" s="5">
        <f t="shared" ref="Z106:Z108" si="93">IF(T106=0,0,X106/T106)</f>
        <v>0.64275565339203533</v>
      </c>
    </row>
    <row r="107" spans="1:26" s="24" customFormat="1" hidden="1" outlineLevel="2" x14ac:dyDescent="0.25">
      <c r="A107" s="27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86"/>
        <v>0</v>
      </c>
      <c r="G107" s="2"/>
      <c r="H107" s="7">
        <v>370</v>
      </c>
      <c r="I107" s="2"/>
      <c r="J107" s="6">
        <f t="shared" si="87"/>
        <v>2.2231835989136445E-3</v>
      </c>
      <c r="K107" s="2"/>
      <c r="L107" s="7">
        <f t="shared" si="88"/>
        <v>-370</v>
      </c>
      <c r="M107" s="2"/>
      <c r="N107" s="6">
        <f t="shared" si="89"/>
        <v>-1</v>
      </c>
      <c r="O107" s="11"/>
      <c r="P107" s="7"/>
      <c r="Q107" s="2"/>
      <c r="R107" s="6">
        <f t="shared" si="90"/>
        <v>0</v>
      </c>
      <c r="S107" s="2"/>
      <c r="T107" s="7">
        <v>2997</v>
      </c>
      <c r="U107" s="2"/>
      <c r="V107" s="6">
        <f t="shared" si="91"/>
        <v>5.7447799559509367E-3</v>
      </c>
      <c r="W107" s="2"/>
      <c r="X107" s="7">
        <f t="shared" si="92"/>
        <v>-2997</v>
      </c>
      <c r="Y107" s="2"/>
      <c r="Z107" s="6">
        <f t="shared" si="93"/>
        <v>-1</v>
      </c>
    </row>
    <row r="108" spans="1:26" s="24" customFormat="1" hidden="1" outlineLevel="2" x14ac:dyDescent="0.25">
      <c r="A108" s="27"/>
      <c r="B108" s="11" t="str">
        <f>CONCATENATE("          ", "6309", " - ", "TELEPHONE")</f>
        <v xml:space="preserve">          6309 - TELEPHONE</v>
      </c>
      <c r="C108" s="11"/>
      <c r="D108" s="7">
        <v>323.79000000000002</v>
      </c>
      <c r="E108" s="2"/>
      <c r="F108" s="6">
        <f t="shared" si="86"/>
        <v>6.4609462844919538E-3</v>
      </c>
      <c r="G108" s="2"/>
      <c r="H108" s="7">
        <v>100</v>
      </c>
      <c r="I108" s="2"/>
      <c r="J108" s="6">
        <f t="shared" si="87"/>
        <v>6.0086043213882282E-4</v>
      </c>
      <c r="K108" s="2"/>
      <c r="L108" s="7">
        <f t="shared" si="88"/>
        <v>223.79000000000002</v>
      </c>
      <c r="M108" s="2"/>
      <c r="N108" s="6">
        <f t="shared" si="89"/>
        <v>2.2379000000000002</v>
      </c>
      <c r="O108" s="11"/>
      <c r="P108" s="7">
        <v>8208.85</v>
      </c>
      <c r="Q108" s="2"/>
      <c r="R108" s="6">
        <f t="shared" si="90"/>
        <v>2.4951755208261144E-2</v>
      </c>
      <c r="S108" s="2"/>
      <c r="T108" s="7">
        <v>2000</v>
      </c>
      <c r="U108" s="2"/>
      <c r="V108" s="6">
        <f t="shared" si="91"/>
        <v>3.8336869909582493E-3</v>
      </c>
      <c r="W108" s="2"/>
      <c r="X108" s="7">
        <f t="shared" si="92"/>
        <v>6208.85</v>
      </c>
      <c r="Y108" s="2"/>
      <c r="Z108" s="6">
        <f t="shared" si="93"/>
        <v>3.104425</v>
      </c>
    </row>
    <row r="109" spans="1:26" s="28" customFormat="1" outlineLevel="1" collapsed="1" x14ac:dyDescent="0.25">
      <c r="A109" s="29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SUM(OSRRefD22_19x_0)</f>
        <v>0</v>
      </c>
      <c r="E109" s="1"/>
      <c r="F109" s="5">
        <f t="shared" ref="F109:F114" si="94">IF(D$12=0,0,D109/D$12)</f>
        <v>0</v>
      </c>
      <c r="G109" s="1"/>
      <c r="H109" s="1">
        <f>SUM(OSRRefH22_19x_0)</f>
        <v>0</v>
      </c>
      <c r="I109" s="1"/>
      <c r="J109" s="5">
        <f t="shared" ref="J109:J114" si="95">IF(H$12=0,0,H109/H$12)</f>
        <v>0</v>
      </c>
      <c r="K109" s="1"/>
      <c r="L109" s="1">
        <f t="shared" ref="L109:L114" si="96">+D109-H109</f>
        <v>0</v>
      </c>
      <c r="M109" s="1"/>
      <c r="N109" s="5">
        <f t="shared" ref="N109:N114" si="97">IF(H109=0,0,L109/H109)</f>
        <v>0</v>
      </c>
      <c r="O109" s="14"/>
      <c r="P109" s="1">
        <f>SUM(OSRRefP22_19x_0)</f>
        <v>400</v>
      </c>
      <c r="Q109" s="1"/>
      <c r="R109" s="5">
        <f t="shared" ref="R109:R114" si="98">IF(P$12=0,0,P109/P$12)</f>
        <v>1.2158465659994344E-3</v>
      </c>
      <c r="S109" s="1"/>
      <c r="T109" s="1">
        <f>SUM(OSRRefT22_19x_0)</f>
        <v>240</v>
      </c>
      <c r="U109" s="1"/>
      <c r="V109" s="5">
        <f t="shared" ref="V109:V114" si="99">IF(T$12=0,0,T109/T$12)</f>
        <v>4.6004243891498988E-4</v>
      </c>
      <c r="W109" s="1"/>
      <c r="X109" s="1">
        <f t="shared" ref="X109:X114" si="100">+P109-T109</f>
        <v>160</v>
      </c>
      <c r="Y109" s="1"/>
      <c r="Z109" s="5">
        <f t="shared" ref="Z109:Z114" si="101">IF(T109=0,0,X109/T109)</f>
        <v>0.66666666666666663</v>
      </c>
    </row>
    <row r="110" spans="1:26" s="24" customFormat="1" hidden="1" outlineLevel="2" x14ac:dyDescent="0.25">
      <c r="A110" s="27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94"/>
        <v>0</v>
      </c>
      <c r="G110" s="2"/>
      <c r="H110" s="7">
        <v>0</v>
      </c>
      <c r="I110" s="2"/>
      <c r="J110" s="6">
        <f t="shared" si="95"/>
        <v>0</v>
      </c>
      <c r="K110" s="2"/>
      <c r="L110" s="7">
        <f t="shared" si="96"/>
        <v>0</v>
      </c>
      <c r="M110" s="2"/>
      <c r="N110" s="6">
        <f t="shared" si="97"/>
        <v>0</v>
      </c>
      <c r="O110" s="11"/>
      <c r="P110" s="7">
        <v>400</v>
      </c>
      <c r="Q110" s="2"/>
      <c r="R110" s="6">
        <f t="shared" si="98"/>
        <v>1.2158465659994344E-3</v>
      </c>
      <c r="S110" s="2"/>
      <c r="T110" s="7">
        <v>240</v>
      </c>
      <c r="U110" s="2"/>
      <c r="V110" s="6">
        <f t="shared" si="99"/>
        <v>4.6004243891498988E-4</v>
      </c>
      <c r="W110" s="2"/>
      <c r="X110" s="7">
        <f t="shared" si="100"/>
        <v>160</v>
      </c>
      <c r="Y110" s="2"/>
      <c r="Z110" s="6">
        <f t="shared" si="101"/>
        <v>0.66666666666666663</v>
      </c>
    </row>
    <row r="111" spans="1:26" s="28" customFormat="1" outlineLevel="1" collapsed="1" x14ac:dyDescent="0.25">
      <c r="A111" s="29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SUM(OSRRefD22_20x_0)</f>
        <v>0</v>
      </c>
      <c r="E111" s="1"/>
      <c r="F111" s="5">
        <f t="shared" si="94"/>
        <v>0</v>
      </c>
      <c r="G111" s="1"/>
      <c r="H111" s="1">
        <f>SUM(OSRRefH22_20x_0)</f>
        <v>0</v>
      </c>
      <c r="I111" s="1"/>
      <c r="J111" s="5">
        <f t="shared" si="95"/>
        <v>0</v>
      </c>
      <c r="K111" s="1"/>
      <c r="L111" s="1">
        <f t="shared" si="96"/>
        <v>0</v>
      </c>
      <c r="M111" s="1"/>
      <c r="N111" s="5">
        <f t="shared" si="97"/>
        <v>0</v>
      </c>
      <c r="O111" s="14"/>
      <c r="P111" s="1">
        <f>SUM(OSRRefP22_20x_0)</f>
        <v>332.21</v>
      </c>
      <c r="Q111" s="1"/>
      <c r="R111" s="5">
        <f t="shared" si="98"/>
        <v>1.0097909692266802E-3</v>
      </c>
      <c r="S111" s="1"/>
      <c r="T111" s="1">
        <f>SUM(OSRRefT22_20x_0)</f>
        <v>1500</v>
      </c>
      <c r="U111" s="1"/>
      <c r="V111" s="5">
        <f t="shared" si="99"/>
        <v>2.8752652432186871E-3</v>
      </c>
      <c r="W111" s="1"/>
      <c r="X111" s="1">
        <f t="shared" si="100"/>
        <v>-1167.79</v>
      </c>
      <c r="Y111" s="1"/>
      <c r="Z111" s="5">
        <f t="shared" si="101"/>
        <v>-0.77852666666666659</v>
      </c>
    </row>
    <row r="112" spans="1:26" s="24" customFormat="1" hidden="1" outlineLevel="2" x14ac:dyDescent="0.25">
      <c r="A112" s="27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94"/>
        <v>0</v>
      </c>
      <c r="G112" s="2"/>
      <c r="H112" s="7"/>
      <c r="I112" s="2"/>
      <c r="J112" s="6">
        <f t="shared" si="95"/>
        <v>0</v>
      </c>
      <c r="K112" s="2"/>
      <c r="L112" s="7">
        <f t="shared" si="96"/>
        <v>0</v>
      </c>
      <c r="M112" s="2"/>
      <c r="N112" s="6">
        <f t="shared" si="97"/>
        <v>0</v>
      </c>
      <c r="O112" s="11"/>
      <c r="P112" s="7"/>
      <c r="Q112" s="2"/>
      <c r="R112" s="6">
        <f t="shared" si="98"/>
        <v>0</v>
      </c>
      <c r="S112" s="2"/>
      <c r="T112" s="7">
        <v>1500</v>
      </c>
      <c r="U112" s="2"/>
      <c r="V112" s="6">
        <f t="shared" si="99"/>
        <v>2.8752652432186871E-3</v>
      </c>
      <c r="W112" s="2"/>
      <c r="X112" s="7">
        <f t="shared" si="100"/>
        <v>-1500</v>
      </c>
      <c r="Y112" s="2"/>
      <c r="Z112" s="6">
        <f t="shared" si="101"/>
        <v>-1</v>
      </c>
    </row>
    <row r="113" spans="1:26" s="24" customFormat="1" hidden="1" outlineLevel="2" x14ac:dyDescent="0.25">
      <c r="A113" s="27"/>
      <c r="B113" s="11" t="str">
        <f>CONCATENATE("          ", "6294", " - ", "TRAVEL OPERATIONAL")</f>
        <v xml:space="preserve">          6294 - TRAVEL OPERATIONAL</v>
      </c>
      <c r="C113" s="11"/>
      <c r="D113" s="7"/>
      <c r="E113" s="2"/>
      <c r="F113" s="6">
        <f t="shared" si="94"/>
        <v>0</v>
      </c>
      <c r="G113" s="2"/>
      <c r="H113" s="7"/>
      <c r="I113" s="2"/>
      <c r="J113" s="6">
        <f t="shared" si="95"/>
        <v>0</v>
      </c>
      <c r="K113" s="2"/>
      <c r="L113" s="7">
        <f t="shared" si="96"/>
        <v>0</v>
      </c>
      <c r="M113" s="2"/>
      <c r="N113" s="6">
        <f t="shared" si="97"/>
        <v>0</v>
      </c>
      <c r="O113" s="11"/>
      <c r="P113" s="7"/>
      <c r="Q113" s="2"/>
      <c r="R113" s="6">
        <f t="shared" si="98"/>
        <v>0</v>
      </c>
      <c r="S113" s="2"/>
      <c r="T113" s="7">
        <v>0</v>
      </c>
      <c r="U113" s="2"/>
      <c r="V113" s="6">
        <f t="shared" si="99"/>
        <v>0</v>
      </c>
      <c r="W113" s="2"/>
      <c r="X113" s="7">
        <f t="shared" si="100"/>
        <v>0</v>
      </c>
      <c r="Y113" s="2"/>
      <c r="Z113" s="6">
        <f t="shared" si="101"/>
        <v>0</v>
      </c>
    </row>
    <row r="114" spans="1:26" s="24" customFormat="1" hidden="1" outlineLevel="2" x14ac:dyDescent="0.25">
      <c r="A114" s="27"/>
      <c r="B114" s="11" t="str">
        <f>CONCATENATE("          ", "6298", " - ", "VEHICLE MILEAGE")</f>
        <v xml:space="preserve">          6298 - VEHICLE MILEAGE</v>
      </c>
      <c r="C114" s="11"/>
      <c r="D114" s="7"/>
      <c r="E114" s="2"/>
      <c r="F114" s="6">
        <f t="shared" si="94"/>
        <v>0</v>
      </c>
      <c r="G114" s="2"/>
      <c r="H114" s="7"/>
      <c r="I114" s="2"/>
      <c r="J114" s="6">
        <f t="shared" si="95"/>
        <v>0</v>
      </c>
      <c r="K114" s="2"/>
      <c r="L114" s="7">
        <f t="shared" si="96"/>
        <v>0</v>
      </c>
      <c r="M114" s="2"/>
      <c r="N114" s="6">
        <f t="shared" si="97"/>
        <v>0</v>
      </c>
      <c r="O114" s="11"/>
      <c r="P114" s="7">
        <v>332.21</v>
      </c>
      <c r="Q114" s="2"/>
      <c r="R114" s="6">
        <f t="shared" si="98"/>
        <v>1.0097909692266802E-3</v>
      </c>
      <c r="S114" s="2"/>
      <c r="T114" s="7"/>
      <c r="U114" s="2"/>
      <c r="V114" s="6">
        <f t="shared" si="99"/>
        <v>0</v>
      </c>
      <c r="W114" s="2"/>
      <c r="X114" s="7">
        <f t="shared" si="100"/>
        <v>332.21</v>
      </c>
      <c r="Y114" s="2"/>
      <c r="Z114" s="6">
        <f t="shared" si="101"/>
        <v>0</v>
      </c>
    </row>
    <row r="115" spans="1:26" s="28" customFormat="1" outlineLevel="1" collapsed="1" x14ac:dyDescent="0.25">
      <c r="A115" s="29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SUM(OSRRefD22_21x_0)</f>
        <v>4796</v>
      </c>
      <c r="E115" s="1"/>
      <c r="F115" s="5">
        <f t="shared" ref="F115:F116" si="102">IF(D$12=0,0,D115/D$12)</f>
        <v>9.5699985732800294E-2</v>
      </c>
      <c r="G115" s="1"/>
      <c r="H115" s="1">
        <f>SUM(OSRRefH22_21x_0)</f>
        <v>4150</v>
      </c>
      <c r="I115" s="1"/>
      <c r="J115" s="5">
        <f t="shared" ref="J115:J116" si="103">IF(H$12=0,0,H115/H$12)</f>
        <v>2.4935707933761146E-2</v>
      </c>
      <c r="K115" s="1"/>
      <c r="L115" s="1">
        <f t="shared" ref="L115:L116" si="104">+D115-H115</f>
        <v>646</v>
      </c>
      <c r="M115" s="1"/>
      <c r="N115" s="5">
        <f t="shared" ref="N115:N116" si="105">IF(H115=0,0,L115/H115)</f>
        <v>0.15566265060240964</v>
      </c>
      <c r="O115" s="14"/>
      <c r="P115" s="1">
        <f>SUM(OSRRefP22_21x_0)</f>
        <v>14142</v>
      </c>
      <c r="Q115" s="1"/>
      <c r="R115" s="5">
        <f t="shared" ref="R115:R116" si="106">IF(P$12=0,0,P115/P$12)</f>
        <v>4.2986255340910003E-2</v>
      </c>
      <c r="S115" s="1"/>
      <c r="T115" s="1">
        <f>SUM(OSRRefT22_21x_0)</f>
        <v>33494</v>
      </c>
      <c r="U115" s="1"/>
      <c r="V115" s="5">
        <f t="shared" ref="V115:V116" si="107">IF(T$12=0,0,T115/T$12)</f>
        <v>6.4202756037577802E-2</v>
      </c>
      <c r="W115" s="1"/>
      <c r="X115" s="1">
        <f t="shared" ref="X115:X116" si="108">+P115-T115</f>
        <v>-19352</v>
      </c>
      <c r="Y115" s="1"/>
      <c r="Z115" s="5">
        <f t="shared" ref="Z115:Z116" si="109">IF(T115=0,0,X115/T115)</f>
        <v>-0.57777512390278851</v>
      </c>
    </row>
    <row r="116" spans="1:26" s="24" customFormat="1" hidden="1" outlineLevel="2" x14ac:dyDescent="0.25">
      <c r="A116" s="27"/>
      <c r="B116" s="11" t="str">
        <f>CONCATENATE("          ", "6274", " - ", "UTILITIES")</f>
        <v xml:space="preserve">          6274 - UTILITIES</v>
      </c>
      <c r="C116" s="11"/>
      <c r="D116" s="7">
        <v>4796</v>
      </c>
      <c r="E116" s="2"/>
      <c r="F116" s="6">
        <f t="shared" si="102"/>
        <v>9.5699985732800294E-2</v>
      </c>
      <c r="G116" s="2"/>
      <c r="H116" s="7">
        <v>4150</v>
      </c>
      <c r="I116" s="2"/>
      <c r="J116" s="6">
        <f t="shared" si="103"/>
        <v>2.4935707933761146E-2</v>
      </c>
      <c r="K116" s="2"/>
      <c r="L116" s="7">
        <f t="shared" si="104"/>
        <v>646</v>
      </c>
      <c r="M116" s="2"/>
      <c r="N116" s="6">
        <f t="shared" si="105"/>
        <v>0.15566265060240964</v>
      </c>
      <c r="O116" s="11"/>
      <c r="P116" s="7">
        <v>14142</v>
      </c>
      <c r="Q116" s="2"/>
      <c r="R116" s="6">
        <f t="shared" si="106"/>
        <v>4.2986255340910003E-2</v>
      </c>
      <c r="S116" s="2"/>
      <c r="T116" s="7">
        <v>33494</v>
      </c>
      <c r="U116" s="2"/>
      <c r="V116" s="6">
        <f t="shared" si="107"/>
        <v>6.4202756037577802E-2</v>
      </c>
      <c r="W116" s="2"/>
      <c r="X116" s="7">
        <f t="shared" si="108"/>
        <v>-19352</v>
      </c>
      <c r="Y116" s="2"/>
      <c r="Z116" s="6">
        <f t="shared" si="109"/>
        <v>-0.57777512390278851</v>
      </c>
    </row>
    <row r="117" spans="1:26" s="58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6" t="s">
        <v>0</v>
      </c>
      <c r="C118" s="10"/>
      <c r="D118" s="4">
        <f>SUM(OSRRefD25x_0)</f>
        <v>1400.8799999999999</v>
      </c>
      <c r="E118" s="4"/>
      <c r="F118" s="12">
        <f t="shared" ref="F118:F122" si="110">IF(D$12=0,0,D118/D$12)</f>
        <v>2.7953335282186253E-2</v>
      </c>
      <c r="G118" s="4"/>
      <c r="H118" s="4">
        <f>SUM(OSRRefH25x_0)</f>
        <v>6050</v>
      </c>
      <c r="I118" s="4"/>
      <c r="J118" s="12">
        <f t="shared" ref="J118:J122" si="111">IF(H$12=0,0,H118/H$12)</f>
        <v>3.6352056144398778E-2</v>
      </c>
      <c r="K118" s="4"/>
      <c r="L118" s="4">
        <f t="shared" ref="L118:L122" si="112">+D118-H118</f>
        <v>-4649.12</v>
      </c>
      <c r="M118" s="4"/>
      <c r="N118" s="12">
        <f t="shared" ref="N118:N122" si="113">IF(H118=0,0,L118/H118)</f>
        <v>-0.76844958677685948</v>
      </c>
      <c r="O118" s="10"/>
      <c r="P118" s="4">
        <f>SUM(OSRRefP25x_0)</f>
        <v>17749.219999999998</v>
      </c>
      <c r="Q118" s="4"/>
      <c r="R118" s="12">
        <f t="shared" ref="R118:R122" si="114">IF(P$12=0,0,P118/P$12)</f>
        <v>5.3950820465421191E-2</v>
      </c>
      <c r="S118" s="4"/>
      <c r="T118" s="4">
        <f>SUM(OSRRefT25x_0)</f>
        <v>40275</v>
      </c>
      <c r="U118" s="4"/>
      <c r="V118" s="12">
        <f t="shared" ref="V118:V122" si="115">IF(T$12=0,0,T118/T$12)</f>
        <v>7.7200871780421745E-2</v>
      </c>
      <c r="W118" s="4"/>
      <c r="X118" s="4">
        <f t="shared" ref="X118:X122" si="116">+P118-T118</f>
        <v>-22525.780000000002</v>
      </c>
      <c r="Y118" s="4"/>
      <c r="Z118" s="12">
        <f t="shared" ref="Z118:Z122" si="117">IF(T118=0,0,X118/T118)</f>
        <v>-0.55929931719428927</v>
      </c>
    </row>
    <row r="119" spans="1:26" s="24" customFormat="1" hidden="1" outlineLevel="1" x14ac:dyDescent="0.25">
      <c r="A119" s="51"/>
      <c r="B119" s="11" t="str">
        <f>CONCATENATE("          ", "9150", " - ", "MISC. INCOME")</f>
        <v xml:space="preserve">          9150 - MISC. INCOME</v>
      </c>
      <c r="C119" s="11"/>
      <c r="D119" s="2">
        <f t="shared" ref="D119:D120" si="118">0</f>
        <v>0</v>
      </c>
      <c r="E119" s="2"/>
      <c r="F119" s="22">
        <f t="shared" si="110"/>
        <v>0</v>
      </c>
      <c r="G119" s="2"/>
      <c r="H119" s="2">
        <v>3180</v>
      </c>
      <c r="I119" s="2"/>
      <c r="J119" s="22">
        <f t="shared" si="111"/>
        <v>1.9107361742014564E-2</v>
      </c>
      <c r="K119" s="2"/>
      <c r="L119" s="2">
        <f t="shared" si="112"/>
        <v>-3180</v>
      </c>
      <c r="M119" s="2"/>
      <c r="N119" s="22">
        <f t="shared" si="113"/>
        <v>-1</v>
      </c>
      <c r="O119" s="11"/>
      <c r="P119" s="2">
        <f>--1728.05</f>
        <v>1728.05</v>
      </c>
      <c r="Q119" s="2"/>
      <c r="R119" s="22">
        <f t="shared" si="114"/>
        <v>5.2526091459383067E-3</v>
      </c>
      <c r="S119" s="2"/>
      <c r="T119" s="2">
        <v>16672</v>
      </c>
      <c r="U119" s="2"/>
      <c r="V119" s="22">
        <f t="shared" si="115"/>
        <v>3.1957614756627964E-2</v>
      </c>
      <c r="W119" s="2"/>
      <c r="X119" s="2">
        <f t="shared" si="116"/>
        <v>-14943.95</v>
      </c>
      <c r="Y119" s="2"/>
      <c r="Z119" s="22">
        <f t="shared" si="117"/>
        <v>-0.89635016794625721</v>
      </c>
    </row>
    <row r="120" spans="1:26" s="24" customFormat="1" hidden="1" outlineLevel="1" x14ac:dyDescent="0.25">
      <c r="A120" s="51"/>
      <c r="B120" s="11" t="str">
        <f>CONCATENATE("          ", "9151", " - ", "MISC. INCOME")</f>
        <v xml:space="preserve">          9151 - MISC. INCOME</v>
      </c>
      <c r="C120" s="11"/>
      <c r="D120" s="2">
        <f t="shared" si="118"/>
        <v>0</v>
      </c>
      <c r="E120" s="2"/>
      <c r="F120" s="22">
        <f t="shared" si="110"/>
        <v>0</v>
      </c>
      <c r="G120" s="2"/>
      <c r="H120" s="2">
        <v>1686</v>
      </c>
      <c r="I120" s="2"/>
      <c r="J120" s="22">
        <f t="shared" si="111"/>
        <v>1.0130506885860553E-2</v>
      </c>
      <c r="K120" s="2"/>
      <c r="L120" s="2">
        <f t="shared" si="112"/>
        <v>-1686</v>
      </c>
      <c r="M120" s="2"/>
      <c r="N120" s="22">
        <f t="shared" si="113"/>
        <v>-1</v>
      </c>
      <c r="O120" s="11"/>
      <c r="P120" s="2">
        <f>0</f>
        <v>0</v>
      </c>
      <c r="Q120" s="2"/>
      <c r="R120" s="22">
        <f t="shared" si="114"/>
        <v>0</v>
      </c>
      <c r="S120" s="2"/>
      <c r="T120" s="2">
        <v>15473</v>
      </c>
      <c r="U120" s="2"/>
      <c r="V120" s="22">
        <f t="shared" si="115"/>
        <v>2.9659319405548494E-2</v>
      </c>
      <c r="W120" s="2"/>
      <c r="X120" s="2">
        <f t="shared" si="116"/>
        <v>-15473</v>
      </c>
      <c r="Y120" s="2"/>
      <c r="Z120" s="22">
        <f t="shared" si="117"/>
        <v>-1</v>
      </c>
    </row>
    <row r="121" spans="1:26" s="24" customFormat="1" hidden="1" outlineLevel="1" x14ac:dyDescent="0.25">
      <c r="A121" s="51"/>
      <c r="B121" s="11" t="str">
        <f>CONCATENATE("          ", "9160", " - ", "MISC. INCOME")</f>
        <v xml:space="preserve">          9160 - MISC. INCOME</v>
      </c>
      <c r="C121" s="11"/>
      <c r="D121" s="2">
        <f>--364.79</f>
        <v>364.79</v>
      </c>
      <c r="E121" s="2"/>
      <c r="F121" s="22">
        <f t="shared" si="110"/>
        <v>7.2790654285796964E-3</v>
      </c>
      <c r="G121" s="2"/>
      <c r="H121" s="2">
        <v>1184</v>
      </c>
      <c r="I121" s="2"/>
      <c r="J121" s="22">
        <f t="shared" si="111"/>
        <v>7.1141875165236616E-3</v>
      </c>
      <c r="K121" s="2"/>
      <c r="L121" s="2">
        <f t="shared" si="112"/>
        <v>-819.21</v>
      </c>
      <c r="M121" s="2"/>
      <c r="N121" s="22">
        <f t="shared" si="113"/>
        <v>-0.69190033783783789</v>
      </c>
      <c r="O121" s="11"/>
      <c r="P121" s="2">
        <f>--12882.96</f>
        <v>12882.96</v>
      </c>
      <c r="Q121" s="2"/>
      <c r="R121" s="22">
        <f t="shared" si="114"/>
        <v>3.9159256689770182E-2</v>
      </c>
      <c r="S121" s="2"/>
      <c r="T121" s="2">
        <v>8130</v>
      </c>
      <c r="U121" s="2"/>
      <c r="V121" s="22">
        <f t="shared" si="115"/>
        <v>1.5583937618245284E-2</v>
      </c>
      <c r="W121" s="2"/>
      <c r="X121" s="2">
        <f t="shared" si="116"/>
        <v>4752.9599999999991</v>
      </c>
      <c r="Y121" s="2"/>
      <c r="Z121" s="22">
        <f t="shared" si="117"/>
        <v>0.58461992619926184</v>
      </c>
    </row>
    <row r="122" spans="1:26" s="24" customFormat="1" hidden="1" outlineLevel="1" x14ac:dyDescent="0.25">
      <c r="A122" s="51"/>
      <c r="B122" s="11" t="str">
        <f>CONCATENATE("          ", "9165", " - ", "OTHER INCOME")</f>
        <v xml:space="preserve">          9165 - OTHER INCOME</v>
      </c>
      <c r="C122" s="11"/>
      <c r="D122" s="2">
        <f>--1036.09</f>
        <v>1036.0899999999999</v>
      </c>
      <c r="E122" s="2"/>
      <c r="F122" s="22">
        <f t="shared" si="110"/>
        <v>2.0674269853606559E-2</v>
      </c>
      <c r="G122" s="2"/>
      <c r="H122" s="2"/>
      <c r="I122" s="2"/>
      <c r="J122" s="22">
        <f t="shared" si="111"/>
        <v>0</v>
      </c>
      <c r="K122" s="2"/>
      <c r="L122" s="2">
        <f t="shared" si="112"/>
        <v>1036.0899999999999</v>
      </c>
      <c r="M122" s="2"/>
      <c r="N122" s="22">
        <f t="shared" si="113"/>
        <v>0</v>
      </c>
      <c r="O122" s="11"/>
      <c r="P122" s="2">
        <f>--3138.21</f>
        <v>3138.21</v>
      </c>
      <c r="Q122" s="2"/>
      <c r="R122" s="22">
        <f t="shared" si="114"/>
        <v>9.5389546297127131E-3</v>
      </c>
      <c r="S122" s="2"/>
      <c r="T122" s="2"/>
      <c r="U122" s="2"/>
      <c r="V122" s="22">
        <f t="shared" si="115"/>
        <v>0</v>
      </c>
      <c r="W122" s="2"/>
      <c r="X122" s="2">
        <f t="shared" si="116"/>
        <v>3138.21</v>
      </c>
      <c r="Y122" s="2"/>
      <c r="Z122" s="22">
        <f t="shared" si="117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5" t="s">
        <v>3</v>
      </c>
      <c r="C124" s="25"/>
      <c r="D124" s="19">
        <f>+D28-D30+D118</f>
        <v>-86315.69</v>
      </c>
      <c r="E124" s="13"/>
      <c r="F124" s="21">
        <f>IF(D$12=0,0,D124/D$12)</f>
        <v>-1.7223541079059244</v>
      </c>
      <c r="G124" s="13"/>
      <c r="H124" s="19">
        <f>+H28-H30+H118</f>
        <v>-81467.5338169795</v>
      </c>
      <c r="I124" s="13"/>
      <c r="J124" s="21">
        <f>IF(H$12=0,0,H124/H$12)</f>
        <v>-0.48950617574554461</v>
      </c>
      <c r="K124" s="15"/>
      <c r="L124" s="19">
        <f>+D124-H124</f>
        <v>-4848.1561830205028</v>
      </c>
      <c r="M124" s="15"/>
      <c r="N124" s="21">
        <f>IF(H124=0,0,L124/H124)</f>
        <v>5.9510285335408641E-2</v>
      </c>
      <c r="O124" s="26"/>
      <c r="P124" s="19">
        <f>+P28-P30+P118</f>
        <v>-794854.77</v>
      </c>
      <c r="Q124" s="13"/>
      <c r="R124" s="21">
        <f>IF(P$12=0,0,P124/P$12)</f>
        <v>-2.4160536064319258</v>
      </c>
      <c r="S124" s="13"/>
      <c r="T124" s="19">
        <f>+T28-T30+T118</f>
        <v>-968638.59871455515</v>
      </c>
      <c r="U124" s="13"/>
      <c r="V124" s="21">
        <f>IF(T$12=0,0,T124/T$12)</f>
        <v>-1.856728597416009</v>
      </c>
      <c r="W124" s="15"/>
      <c r="X124" s="19">
        <f>+P124-T124</f>
        <v>173783.82871455513</v>
      </c>
      <c r="Y124" s="15"/>
      <c r="Z124" s="21">
        <f>IF(T124=0,0,X124/T124)</f>
        <v>-0.17941038994850844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14528.56</v>
      </c>
      <c r="E126" s="4"/>
      <c r="F126" s="12">
        <f>IF(D$12=0,0,D126/D$12)</f>
        <v>0.28990470907383925</v>
      </c>
      <c r="G126" s="4"/>
      <c r="H126" s="4">
        <v>28067</v>
      </c>
      <c r="I126" s="4"/>
      <c r="J126" s="12">
        <f>IF(H$12=0,0,H126/H$12)</f>
        <v>0.1686434974884034</v>
      </c>
      <c r="K126" s="4"/>
      <c r="L126" s="4">
        <f>+D126-H126</f>
        <v>-13538.44</v>
      </c>
      <c r="M126" s="4"/>
      <c r="N126" s="12">
        <f>IF(H126=0,0,L126/H126)</f>
        <v>-0.48236149214379881</v>
      </c>
      <c r="O126" s="10"/>
      <c r="P126" s="4">
        <v>65151.570000000007</v>
      </c>
      <c r="Q126" s="4"/>
      <c r="R126" s="12">
        <f>IF(P$12=0,0,P126/P$12)</f>
        <v>0.19803578163492944</v>
      </c>
      <c r="S126" s="4"/>
      <c r="T126" s="4">
        <v>89719</v>
      </c>
      <c r="U126" s="4"/>
      <c r="V126" s="12">
        <f>IF(T$12=0,0,T126/T$12)</f>
        <v>0.17197728157089159</v>
      </c>
      <c r="W126" s="4"/>
      <c r="X126" s="4">
        <f>+P126-T126</f>
        <v>-24567.429999999993</v>
      </c>
      <c r="Y126" s="4"/>
      <c r="Z126" s="12">
        <f>IF(T126=0,0,X126/T126)</f>
        <v>-0.27382639128835579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5" t="s">
        <v>4</v>
      </c>
      <c r="C128" s="25"/>
      <c r="D128" s="34">
        <f>+D124-D126</f>
        <v>-100844.25</v>
      </c>
      <c r="E128" s="13"/>
      <c r="F128" s="30">
        <f>IF(D$12=0,0,D128/D$12)</f>
        <v>-2.0122588169797635</v>
      </c>
      <c r="G128" s="13"/>
      <c r="H128" s="34">
        <f>+H124-H126</f>
        <v>-109534.5338169795</v>
      </c>
      <c r="I128" s="13"/>
      <c r="J128" s="30">
        <f>IF(H$12=0,0,H128/H$12)</f>
        <v>-0.65814967323394802</v>
      </c>
      <c r="K128" s="15"/>
      <c r="L128" s="34">
        <f>D128-H128</f>
        <v>8690.2838169794995</v>
      </c>
      <c r="M128" s="15"/>
      <c r="N128" s="30">
        <f>IF(H128=0,0,L128/H128)</f>
        <v>-7.9338301028423014E-2</v>
      </c>
      <c r="O128" s="26"/>
      <c r="P128" s="34">
        <f>+P124-P126</f>
        <v>-860006.34000000008</v>
      </c>
      <c r="Q128" s="13"/>
      <c r="R128" s="30">
        <f>IF(P$12=0,0,P128/P$12)</f>
        <v>-2.6140893880668554</v>
      </c>
      <c r="S128" s="13"/>
      <c r="T128" s="34">
        <f>+T124-T126</f>
        <v>-1058357.5987145551</v>
      </c>
      <c r="U128" s="13"/>
      <c r="V128" s="30">
        <f>IF(T$12=0,0,T128/T$12)</f>
        <v>-2.0287058789869006</v>
      </c>
      <c r="W128" s="15"/>
      <c r="X128" s="34">
        <f>P128-T128</f>
        <v>198351.25871455506</v>
      </c>
      <c r="Y128" s="15"/>
      <c r="Z128" s="30">
        <f>IF(T128=0,0,X128/T128)</f>
        <v>-0.18741421515323903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5</v>
      </c>
      <c r="C131" s="25"/>
      <c r="D131" s="35">
        <f>SUM(D128:D130)</f>
        <v>-100844.25</v>
      </c>
      <c r="E131" s="13"/>
      <c r="F131" s="31">
        <f>IF(D$12=0,0,D131/D$12)</f>
        <v>-2.0122588169797635</v>
      </c>
      <c r="G131" s="13"/>
      <c r="H131" s="35">
        <f>SUM(H128:H130)</f>
        <v>-109534.5338169795</v>
      </c>
      <c r="I131" s="13"/>
      <c r="J131" s="31">
        <f>IF(H$12=0,0,H131/H$12)</f>
        <v>-0.65814967323394802</v>
      </c>
      <c r="K131" s="15"/>
      <c r="L131" s="35">
        <f>+D131-H131</f>
        <v>8690.2838169794995</v>
      </c>
      <c r="M131" s="15"/>
      <c r="N131" s="31">
        <f>IF(H131=0,0,L131/H131)</f>
        <v>-7.9338301028423014E-2</v>
      </c>
      <c r="O131" s="26"/>
      <c r="P131" s="35">
        <f>SUM(P128:P130)</f>
        <v>-860006.34000000008</v>
      </c>
      <c r="Q131" s="13"/>
      <c r="R131" s="31">
        <f>IF(P$12=0,0,P131/P$12)</f>
        <v>-2.6140893880668554</v>
      </c>
      <c r="S131" s="13"/>
      <c r="T131" s="35">
        <f>SUM(T128:T130)</f>
        <v>-1058357.5987145551</v>
      </c>
      <c r="U131" s="13"/>
      <c r="V131" s="31">
        <f>IF(T$12=0,0,T131/T$12)</f>
        <v>-2.0287058789869006</v>
      </c>
      <c r="W131" s="15"/>
      <c r="X131" s="35">
        <f>+P131-T131</f>
        <v>198351.25871455506</v>
      </c>
      <c r="Y131" s="15"/>
      <c r="Z131" s="31">
        <f>IF(T131=0,0,X131/T131)</f>
        <v>-0.18741421515323903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6" x14ac:dyDescent="0.25">
      <c r="A133" s="9"/>
      <c r="B133" s="53">
        <v>44267.671481562502</v>
      </c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62" t="s">
        <v>314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7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49980.95</v>
      </c>
      <c r="E12" s="4"/>
      <c r="F12" s="12"/>
      <c r="G12" s="4"/>
      <c r="H12" s="4">
        <f>SUM(OSRRefH13x_0)</f>
        <v>50636</v>
      </c>
      <c r="I12" s="4"/>
      <c r="J12" s="12"/>
      <c r="K12" s="4"/>
      <c r="L12" s="4">
        <f t="shared" ref="L12:L18" si="0">+D12-H12</f>
        <v>-655.05000000000291</v>
      </c>
      <c r="M12" s="4"/>
      <c r="N12" s="12">
        <f t="shared" ref="N12:N18" si="1">IF(H12=0,0,L12/H12)</f>
        <v>-1.2936448376649081E-2</v>
      </c>
      <c r="O12" s="10"/>
      <c r="P12" s="4">
        <f>SUM(OSRRefP13x_0)</f>
        <v>326268.40999999992</v>
      </c>
      <c r="Q12" s="4"/>
      <c r="R12" s="12"/>
      <c r="S12" s="4"/>
      <c r="T12" s="4">
        <f>SUM(OSRRefT13x_0)</f>
        <v>163350</v>
      </c>
      <c r="U12" s="4"/>
      <c r="V12" s="12"/>
      <c r="W12" s="4"/>
      <c r="X12" s="4">
        <f t="shared" ref="X12:X18" si="2">+P12-T12</f>
        <v>162918.40999999992</v>
      </c>
      <c r="Y12" s="4"/>
      <c r="Z12" s="12">
        <f t="shared" ref="Z12:Z18" si="3">IF(T12=0,0,X12/T12)</f>
        <v>0.99735788184879037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15749</v>
      </c>
      <c r="I13" s="2"/>
      <c r="J13" s="22"/>
      <c r="K13" s="2"/>
      <c r="L13" s="2">
        <f t="shared" si="0"/>
        <v>-15749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50806</v>
      </c>
      <c r="U13" s="2"/>
      <c r="V13" s="22"/>
      <c r="W13" s="2"/>
      <c r="X13" s="2">
        <f t="shared" si="2"/>
        <v>-50806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--49980.95</f>
        <v>49980.95</v>
      </c>
      <c r="E15" s="2"/>
      <c r="F15" s="22"/>
      <c r="G15" s="2"/>
      <c r="H15" s="2"/>
      <c r="I15" s="2"/>
      <c r="J15" s="22"/>
      <c r="K15" s="2"/>
      <c r="L15" s="2">
        <f t="shared" si="0"/>
        <v>49980.95</v>
      </c>
      <c r="M15" s="2"/>
      <c r="N15" s="22">
        <f t="shared" si="1"/>
        <v>0</v>
      </c>
      <c r="O15" s="11"/>
      <c r="P15" s="2">
        <f>--280157.8</f>
        <v>280157.8</v>
      </c>
      <c r="Q15" s="2"/>
      <c r="R15" s="22"/>
      <c r="S15" s="2"/>
      <c r="T15" s="2"/>
      <c r="U15" s="2"/>
      <c r="V15" s="22"/>
      <c r="W15" s="2"/>
      <c r="X15" s="2">
        <f t="shared" si="2"/>
        <v>280157.8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8" si="5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5"/>
        <v>0</v>
      </c>
      <c r="E17" s="2"/>
      <c r="F17" s="22"/>
      <c r="G17" s="2"/>
      <c r="H17" s="2">
        <v>34887</v>
      </c>
      <c r="I17" s="2"/>
      <c r="J17" s="22"/>
      <c r="K17" s="2"/>
      <c r="L17" s="2">
        <f t="shared" si="0"/>
        <v>-34887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112544</v>
      </c>
      <c r="U17" s="2"/>
      <c r="V17" s="22"/>
      <c r="W17" s="2"/>
      <c r="X17" s="2">
        <f t="shared" si="2"/>
        <v>-112544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 t="shared" si="5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--22171.22</f>
        <v>22171.22</v>
      </c>
      <c r="Q18" s="2"/>
      <c r="R18" s="22"/>
      <c r="S18" s="2"/>
      <c r="T18" s="2"/>
      <c r="U18" s="2"/>
      <c r="V18" s="22"/>
      <c r="W18" s="2"/>
      <c r="X18" s="2">
        <f t="shared" si="2"/>
        <v>22171.22</v>
      </c>
      <c r="Y18" s="2"/>
      <c r="Z18" s="22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8</v>
      </c>
      <c r="C20" s="10"/>
      <c r="D20" s="4">
        <f>SUM(OSRRefD16x_0)</f>
        <v>-4319.1099999999997</v>
      </c>
      <c r="E20" s="4"/>
      <c r="F20" s="12">
        <f t="shared" ref="F20:F23" si="6">IF(D$12=0,0,D20/D$12)</f>
        <v>-8.6415124162305831E-2</v>
      </c>
      <c r="G20" s="4"/>
      <c r="H20" s="4">
        <f>SUM(OSRRefH16x_0)</f>
        <v>15697</v>
      </c>
      <c r="I20" s="4"/>
      <c r="J20" s="12">
        <f t="shared" ref="J20:J23" si="7">IF(H$12=0,0,H20/H$12)</f>
        <v>0.30999684019274826</v>
      </c>
      <c r="K20" s="4"/>
      <c r="L20" s="4">
        <f t="shared" ref="L20:L23" si="8">+D20-H20</f>
        <v>-20016.11</v>
      </c>
      <c r="M20" s="4"/>
      <c r="N20" s="12">
        <f t="shared" ref="N20:N23" si="9">IF(H20=0,0,L20/H20)</f>
        <v>-1.2751551251831561</v>
      </c>
      <c r="O20" s="10"/>
      <c r="P20" s="4">
        <f>SUM(OSRRefP16x_0)</f>
        <v>15854.24</v>
      </c>
      <c r="Q20" s="4"/>
      <c r="R20" s="12">
        <f t="shared" ref="R20:R23" si="10">IF(P$12=0,0,P20/P$12)</f>
        <v>4.8592629608241886E-2</v>
      </c>
      <c r="S20" s="4"/>
      <c r="T20" s="4">
        <f>SUM(OSRRefT16x_0)</f>
        <v>51308</v>
      </c>
      <c r="U20" s="4"/>
      <c r="V20" s="12">
        <f t="shared" ref="V20:V23" si="11">IF(T$12=0,0,T20/T$12)</f>
        <v>0.31409856137128866</v>
      </c>
      <c r="W20" s="4"/>
      <c r="X20" s="4">
        <f t="shared" ref="X20:X23" si="12">+P20-T20</f>
        <v>-35453.760000000002</v>
      </c>
      <c r="Y20" s="4"/>
      <c r="Z20" s="12">
        <f t="shared" ref="Z20:Z23" si="13">IF(T20=0,0,X20/T20)</f>
        <v>-0.69099867467061671</v>
      </c>
    </row>
    <row r="21" spans="1:26" s="24" customFormat="1" hidden="1" outlineLevel="1" x14ac:dyDescent="0.2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6"/>
        <v>0</v>
      </c>
      <c r="G21" s="2"/>
      <c r="H21" s="2">
        <v>15697</v>
      </c>
      <c r="I21" s="2"/>
      <c r="J21" s="22">
        <f t="shared" si="7"/>
        <v>0.30999684019274826</v>
      </c>
      <c r="K21" s="2"/>
      <c r="L21" s="2">
        <f t="shared" si="8"/>
        <v>-15697</v>
      </c>
      <c r="M21" s="2"/>
      <c r="N21" s="22">
        <f t="shared" si="9"/>
        <v>-1</v>
      </c>
      <c r="O21" s="11"/>
      <c r="P21" s="2"/>
      <c r="Q21" s="2"/>
      <c r="R21" s="22">
        <f t="shared" si="10"/>
        <v>0</v>
      </c>
      <c r="S21" s="2"/>
      <c r="T21" s="2">
        <v>51308</v>
      </c>
      <c r="U21" s="2"/>
      <c r="V21" s="22">
        <f t="shared" si="11"/>
        <v>0.31409856137128866</v>
      </c>
      <c r="W21" s="2"/>
      <c r="X21" s="2">
        <f t="shared" si="12"/>
        <v>-51308</v>
      </c>
      <c r="Y21" s="2"/>
      <c r="Z21" s="22">
        <f t="shared" si="13"/>
        <v>-1</v>
      </c>
    </row>
    <row r="22" spans="1:26" s="24" customFormat="1" hidden="1" outlineLevel="1" x14ac:dyDescent="0.2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-4739.1099999999997</v>
      </c>
      <c r="E22" s="2"/>
      <c r="F22" s="22">
        <f t="shared" si="6"/>
        <v>-9.4818325782122986E-2</v>
      </c>
      <c r="G22" s="2"/>
      <c r="H22" s="2"/>
      <c r="I22" s="2"/>
      <c r="J22" s="22">
        <f t="shared" si="7"/>
        <v>0</v>
      </c>
      <c r="K22" s="2"/>
      <c r="L22" s="2">
        <f t="shared" si="8"/>
        <v>-4739.1099999999997</v>
      </c>
      <c r="M22" s="2"/>
      <c r="N22" s="22">
        <f t="shared" si="9"/>
        <v>0</v>
      </c>
      <c r="O22" s="11"/>
      <c r="P22" s="2">
        <v>10105.16</v>
      </c>
      <c r="Q22" s="2"/>
      <c r="R22" s="22">
        <f t="shared" si="10"/>
        <v>3.0971922779775101E-2</v>
      </c>
      <c r="S22" s="2"/>
      <c r="T22" s="2"/>
      <c r="U22" s="2"/>
      <c r="V22" s="22">
        <f t="shared" si="11"/>
        <v>0</v>
      </c>
      <c r="W22" s="2"/>
      <c r="X22" s="2">
        <f t="shared" si="12"/>
        <v>10105.16</v>
      </c>
      <c r="Y22" s="2"/>
      <c r="Z22" s="22">
        <f t="shared" si="13"/>
        <v>0</v>
      </c>
    </row>
    <row r="23" spans="1:26" s="24" customFormat="1" hidden="1" outlineLevel="1" x14ac:dyDescent="0.2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420</v>
      </c>
      <c r="E23" s="2"/>
      <c r="F23" s="22">
        <f t="shared" si="6"/>
        <v>8.4032016198171515E-3</v>
      </c>
      <c r="G23" s="2"/>
      <c r="H23" s="2"/>
      <c r="I23" s="2"/>
      <c r="J23" s="22">
        <f t="shared" si="7"/>
        <v>0</v>
      </c>
      <c r="K23" s="2"/>
      <c r="L23" s="2">
        <f t="shared" si="8"/>
        <v>420</v>
      </c>
      <c r="M23" s="2"/>
      <c r="N23" s="22">
        <f t="shared" si="9"/>
        <v>0</v>
      </c>
      <c r="O23" s="11"/>
      <c r="P23" s="2">
        <v>5749.08</v>
      </c>
      <c r="Q23" s="2"/>
      <c r="R23" s="22">
        <f t="shared" si="10"/>
        <v>1.7620706828466788E-2</v>
      </c>
      <c r="S23" s="2"/>
      <c r="T23" s="2"/>
      <c r="U23" s="2"/>
      <c r="V23" s="22">
        <f t="shared" si="11"/>
        <v>0</v>
      </c>
      <c r="W23" s="2"/>
      <c r="X23" s="2">
        <f t="shared" si="12"/>
        <v>5749.08</v>
      </c>
      <c r="Y23" s="2"/>
      <c r="Z23" s="22">
        <f t="shared" si="13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6</v>
      </c>
      <c r="C25" s="25"/>
      <c r="D25" s="19">
        <f>D12-D20</f>
        <v>54300.06</v>
      </c>
      <c r="E25" s="13"/>
      <c r="F25" s="21">
        <f>IF(D$12=0,0,D25/D$12)</f>
        <v>1.0864151241623059</v>
      </c>
      <c r="G25" s="13"/>
      <c r="H25" s="19">
        <f>H12-H20</f>
        <v>34939</v>
      </c>
      <c r="I25" s="13"/>
      <c r="J25" s="21">
        <f>IF(H$12=0,0,H25/H$12)</f>
        <v>0.6900031598072518</v>
      </c>
      <c r="K25" s="15"/>
      <c r="L25" s="19">
        <f>+D25-H25</f>
        <v>19361.059999999998</v>
      </c>
      <c r="M25" s="15"/>
      <c r="N25" s="21">
        <f>IF(H25=0,0,L25/H25)</f>
        <v>0.55413892784567387</v>
      </c>
      <c r="O25" s="26"/>
      <c r="P25" s="19">
        <f>P12-P20</f>
        <v>310414.16999999993</v>
      </c>
      <c r="Q25" s="13"/>
      <c r="R25" s="21">
        <f>IF(P$12=0,0,P25/P$12)</f>
        <v>0.95140737039175816</v>
      </c>
      <c r="S25" s="13"/>
      <c r="T25" s="19">
        <f>T12-T20</f>
        <v>112042</v>
      </c>
      <c r="U25" s="13"/>
      <c r="V25" s="21">
        <f>IF(T$12=0,0,T25/T$12)</f>
        <v>0.68590143862871134</v>
      </c>
      <c r="W25" s="15"/>
      <c r="X25" s="19">
        <f>+P25-T25</f>
        <v>198372.16999999993</v>
      </c>
      <c r="Y25" s="15"/>
      <c r="Z25" s="21">
        <f>IF(T25=0,0,X25/T25)</f>
        <v>1.7705161457310645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9</v>
      </c>
      <c r="C27" s="10"/>
      <c r="D27" s="20">
        <f>SUM(OSRRefD22x_0)</f>
        <v>107369.61</v>
      </c>
      <c r="E27" s="20"/>
      <c r="F27" s="33">
        <f t="shared" ref="F27:F37" si="14">IF(D$12=0,0,D27/D$12)</f>
        <v>2.1482106682646092</v>
      </c>
      <c r="G27" s="20"/>
      <c r="H27" s="20">
        <f>SUM(OSRRefH22x_0)</f>
        <v>113048.84664457948</v>
      </c>
      <c r="I27" s="20"/>
      <c r="J27" s="33">
        <f t="shared" ref="J27:J37" si="15">IF(H$12=0,0,H27/H$12)</f>
        <v>2.2325785339398743</v>
      </c>
      <c r="K27" s="4"/>
      <c r="L27" s="20">
        <f t="shared" ref="L27:L37" si="16">+D27-H27</f>
        <v>-5679.236644579476</v>
      </c>
      <c r="M27" s="4"/>
      <c r="N27" s="33">
        <f t="shared" ref="N27:N37" si="17">IF(H27=0,0,L27/H27)</f>
        <v>-5.023701535350239E-2</v>
      </c>
      <c r="O27" s="10"/>
      <c r="P27" s="20">
        <f>SUM(OSRRefP22x_0)</f>
        <v>894122.76000000013</v>
      </c>
      <c r="Q27" s="20"/>
      <c r="R27" s="33">
        <f t="shared" ref="R27:R37" si="18">IF(P$12=0,0,P27/P$12)</f>
        <v>2.7404515196552444</v>
      </c>
      <c r="S27" s="20"/>
      <c r="T27" s="20">
        <f>SUM(OSRRefT22x_0)</f>
        <v>882946.57110845519</v>
      </c>
      <c r="U27" s="20"/>
      <c r="V27" s="33">
        <f t="shared" ref="V27:V37" si="19">IF(T$12=0,0,T27/T$12)</f>
        <v>5.405243777829539</v>
      </c>
      <c r="W27" s="4"/>
      <c r="X27" s="20">
        <f t="shared" ref="X27:X37" si="20">+P27-T27</f>
        <v>11176.188891544938</v>
      </c>
      <c r="Y27" s="4"/>
      <c r="Z27" s="33">
        <f t="shared" ref="Z27:Z37" si="21">IF(T27=0,0,X27/T27)</f>
        <v>1.2657831467100325E-2</v>
      </c>
    </row>
    <row r="28" spans="1:26" s="28" customFormat="1" outlineLevel="1" collapsed="1" x14ac:dyDescent="0.25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18076.13</v>
      </c>
      <c r="E28" s="1"/>
      <c r="F28" s="5">
        <f t="shared" si="14"/>
        <v>0.36166039260958427</v>
      </c>
      <c r="G28" s="1"/>
      <c r="H28" s="1">
        <f>SUM(OSRRefH22_0x_0)</f>
        <v>13633.902418938467</v>
      </c>
      <c r="I28" s="1"/>
      <c r="J28" s="5">
        <f t="shared" si="15"/>
        <v>0.26925314833198649</v>
      </c>
      <c r="K28" s="1"/>
      <c r="L28" s="1">
        <f t="shared" si="16"/>
        <v>4442.2275810615338</v>
      </c>
      <c r="M28" s="1"/>
      <c r="N28" s="5">
        <f t="shared" si="17"/>
        <v>0.3258221633514819</v>
      </c>
      <c r="O28" s="14"/>
      <c r="P28" s="1">
        <f>SUM(OSRRefP22_0x_0)</f>
        <v>168070.19</v>
      </c>
      <c r="Q28" s="1"/>
      <c r="R28" s="5">
        <f t="shared" si="18"/>
        <v>0.51512860224500445</v>
      </c>
      <c r="S28" s="1"/>
      <c r="T28" s="1">
        <f>SUM(OSRRefT22_0x_0)</f>
        <v>110459.27343409619</v>
      </c>
      <c r="U28" s="1"/>
      <c r="V28" s="5">
        <f t="shared" si="19"/>
        <v>0.67621226467154083</v>
      </c>
      <c r="W28" s="1"/>
      <c r="X28" s="1">
        <f t="shared" si="20"/>
        <v>57610.916565903812</v>
      </c>
      <c r="Y28" s="1"/>
      <c r="Z28" s="5">
        <f t="shared" si="21"/>
        <v>0.52155798942744691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7">
        <v>2064.8200000000002</v>
      </c>
      <c r="E29" s="2"/>
      <c r="F29" s="6">
        <f t="shared" si="14"/>
        <v>4.1312139925311547E-2</v>
      </c>
      <c r="G29" s="2"/>
      <c r="H29" s="7">
        <v>1485.738938169231</v>
      </c>
      <c r="I29" s="2"/>
      <c r="J29" s="6">
        <f t="shared" si="15"/>
        <v>2.9341554194036477E-2</v>
      </c>
      <c r="K29" s="2"/>
      <c r="L29" s="7">
        <f t="shared" si="16"/>
        <v>579.08106183076916</v>
      </c>
      <c r="M29" s="2"/>
      <c r="N29" s="6">
        <f t="shared" si="17"/>
        <v>0.38975963202817382</v>
      </c>
      <c r="O29" s="11"/>
      <c r="P29" s="7">
        <v>19740.41</v>
      </c>
      <c r="Q29" s="2"/>
      <c r="R29" s="6">
        <f t="shared" si="18"/>
        <v>6.0503589667170059E-2</v>
      </c>
      <c r="S29" s="2"/>
      <c r="T29" s="7">
        <v>13021.383906980776</v>
      </c>
      <c r="U29" s="2"/>
      <c r="V29" s="6">
        <f t="shared" si="19"/>
        <v>7.9714624468814055E-2</v>
      </c>
      <c r="W29" s="2"/>
      <c r="X29" s="7">
        <f t="shared" si="20"/>
        <v>6719.0260930192235</v>
      </c>
      <c r="Y29" s="2"/>
      <c r="Z29" s="6">
        <f t="shared" si="21"/>
        <v>0.51599938539690449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7">
        <v>629.72</v>
      </c>
      <c r="E30" s="2"/>
      <c r="F30" s="6">
        <f t="shared" si="14"/>
        <v>1.2599200295312515E-2</v>
      </c>
      <c r="G30" s="2"/>
      <c r="H30" s="7">
        <v>828.91462753846145</v>
      </c>
      <c r="I30" s="2"/>
      <c r="J30" s="6">
        <f t="shared" si="15"/>
        <v>1.6370065319900099E-2</v>
      </c>
      <c r="K30" s="2"/>
      <c r="L30" s="7">
        <f t="shared" si="16"/>
        <v>-199.19462753846142</v>
      </c>
      <c r="M30" s="2"/>
      <c r="N30" s="6">
        <f t="shared" si="17"/>
        <v>-0.24030777226116551</v>
      </c>
      <c r="O30" s="11"/>
      <c r="P30" s="7">
        <v>5792.22</v>
      </c>
      <c r="Q30" s="2"/>
      <c r="R30" s="6">
        <f t="shared" si="18"/>
        <v>1.7752929252329398E-2</v>
      </c>
      <c r="S30" s="2"/>
      <c r="T30" s="7">
        <v>4936.1202799615376</v>
      </c>
      <c r="U30" s="2"/>
      <c r="V30" s="6">
        <f t="shared" si="19"/>
        <v>3.021806109557109E-2</v>
      </c>
      <c r="W30" s="2"/>
      <c r="X30" s="7">
        <f t="shared" si="20"/>
        <v>856.09972003846269</v>
      </c>
      <c r="Y30" s="2"/>
      <c r="Z30" s="6">
        <f t="shared" si="21"/>
        <v>0.17343574943135978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7">
        <v>8554.93</v>
      </c>
      <c r="E31" s="2"/>
      <c r="F31" s="6">
        <f t="shared" si="14"/>
        <v>0.17116381341291034</v>
      </c>
      <c r="G31" s="2"/>
      <c r="H31" s="7">
        <v>7261.1538461538503</v>
      </c>
      <c r="I31" s="2"/>
      <c r="J31" s="6">
        <f t="shared" si="15"/>
        <v>0.14339904112003021</v>
      </c>
      <c r="K31" s="2"/>
      <c r="L31" s="7">
        <f t="shared" si="16"/>
        <v>1293.77615384615</v>
      </c>
      <c r="M31" s="2"/>
      <c r="N31" s="6">
        <f t="shared" si="17"/>
        <v>0.17817776365273522</v>
      </c>
      <c r="O31" s="11"/>
      <c r="P31" s="7">
        <v>78041.709999999992</v>
      </c>
      <c r="Q31" s="2"/>
      <c r="R31" s="6">
        <f t="shared" si="18"/>
        <v>0.23919480896112502</v>
      </c>
      <c r="S31" s="2"/>
      <c r="T31" s="7">
        <v>59173.730769230759</v>
      </c>
      <c r="U31" s="2"/>
      <c r="V31" s="6">
        <f t="shared" si="19"/>
        <v>0.36225118316027399</v>
      </c>
      <c r="W31" s="2"/>
      <c r="X31" s="7">
        <f t="shared" si="20"/>
        <v>18867.979230769233</v>
      </c>
      <c r="Y31" s="2"/>
      <c r="Z31" s="6">
        <f t="shared" si="21"/>
        <v>0.31885735419238148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7">
        <v>81.3</v>
      </c>
      <c r="E32" s="2"/>
      <c r="F32" s="6">
        <f t="shared" si="14"/>
        <v>1.6266197421217483E-3</v>
      </c>
      <c r="G32" s="2"/>
      <c r="H32" s="7">
        <v>76.803404</v>
      </c>
      <c r="I32" s="2"/>
      <c r="J32" s="6">
        <f t="shared" si="15"/>
        <v>1.5167747057429498E-3</v>
      </c>
      <c r="K32" s="2"/>
      <c r="L32" s="7">
        <f t="shared" si="16"/>
        <v>4.4965959999999967</v>
      </c>
      <c r="M32" s="2"/>
      <c r="N32" s="6">
        <f t="shared" si="17"/>
        <v>5.8546832116972272E-2</v>
      </c>
      <c r="O32" s="11"/>
      <c r="P32" s="7">
        <v>754.52</v>
      </c>
      <c r="Q32" s="2"/>
      <c r="R32" s="6">
        <f t="shared" si="18"/>
        <v>2.3125744843026639E-3</v>
      </c>
      <c r="S32" s="2"/>
      <c r="T32" s="7">
        <v>531.61265100000003</v>
      </c>
      <c r="U32" s="2"/>
      <c r="V32" s="6">
        <f t="shared" si="19"/>
        <v>3.2544392470156107E-3</v>
      </c>
      <c r="W32" s="2"/>
      <c r="X32" s="7">
        <f t="shared" si="20"/>
        <v>222.90734899999995</v>
      </c>
      <c r="Y32" s="2"/>
      <c r="Z32" s="6">
        <f t="shared" si="21"/>
        <v>0.41930407145258086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7">
        <v>2703.34</v>
      </c>
      <c r="E33" s="2"/>
      <c r="F33" s="6">
        <f t="shared" si="14"/>
        <v>5.4087407302182137E-2</v>
      </c>
      <c r="G33" s="2"/>
      <c r="H33" s="7">
        <v>1386.1317261538459</v>
      </c>
      <c r="I33" s="2"/>
      <c r="J33" s="6">
        <f t="shared" si="15"/>
        <v>2.7374431751201633E-2</v>
      </c>
      <c r="K33" s="2"/>
      <c r="L33" s="7">
        <f t="shared" si="16"/>
        <v>1317.2082738461543</v>
      </c>
      <c r="M33" s="2"/>
      <c r="N33" s="6">
        <f t="shared" si="17"/>
        <v>0.95027640518774059</v>
      </c>
      <c r="O33" s="11"/>
      <c r="P33" s="7">
        <v>26926.449999999997</v>
      </c>
      <c r="Q33" s="2"/>
      <c r="R33" s="6">
        <f t="shared" si="18"/>
        <v>8.2528523064798104E-2</v>
      </c>
      <c r="S33" s="2"/>
      <c r="T33" s="7">
        <v>12128.65260384616</v>
      </c>
      <c r="U33" s="2"/>
      <c r="V33" s="6">
        <f t="shared" si="19"/>
        <v>7.4249480280662139E-2</v>
      </c>
      <c r="W33" s="2"/>
      <c r="X33" s="7">
        <f t="shared" si="20"/>
        <v>14797.797396153837</v>
      </c>
      <c r="Y33" s="2"/>
      <c r="Z33" s="6">
        <f t="shared" si="21"/>
        <v>1.2200693580308546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4"/>
        <v>0</v>
      </c>
      <c r="G34" s="2"/>
      <c r="H34" s="7">
        <v>0</v>
      </c>
      <c r="I34" s="2"/>
      <c r="J34" s="6">
        <f t="shared" si="15"/>
        <v>0</v>
      </c>
      <c r="K34" s="2"/>
      <c r="L34" s="7">
        <f t="shared" si="16"/>
        <v>0</v>
      </c>
      <c r="M34" s="2"/>
      <c r="N34" s="6">
        <f t="shared" si="17"/>
        <v>0</v>
      </c>
      <c r="O34" s="11"/>
      <c r="P34" s="7"/>
      <c r="Q34" s="2"/>
      <c r="R34" s="6">
        <f t="shared" si="18"/>
        <v>0</v>
      </c>
      <c r="S34" s="2"/>
      <c r="T34" s="7">
        <v>0</v>
      </c>
      <c r="U34" s="2"/>
      <c r="V34" s="6">
        <f t="shared" si="19"/>
        <v>0</v>
      </c>
      <c r="W34" s="2"/>
      <c r="X34" s="7">
        <f t="shared" si="20"/>
        <v>0</v>
      </c>
      <c r="Y34" s="2"/>
      <c r="Z34" s="6">
        <f t="shared" si="21"/>
        <v>0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7">
        <v>2462.92</v>
      </c>
      <c r="E35" s="2"/>
      <c r="F35" s="6">
        <f t="shared" si="14"/>
        <v>4.9277174603523946E-2</v>
      </c>
      <c r="G35" s="2"/>
      <c r="H35" s="7">
        <v>1524.1520769230799</v>
      </c>
      <c r="I35" s="2"/>
      <c r="J35" s="6">
        <f t="shared" si="15"/>
        <v>3.0100167409018878E-2</v>
      </c>
      <c r="K35" s="2"/>
      <c r="L35" s="7">
        <f t="shared" si="16"/>
        <v>938.76792307692017</v>
      </c>
      <c r="M35" s="2"/>
      <c r="N35" s="6">
        <f t="shared" si="17"/>
        <v>0.61592798861126863</v>
      </c>
      <c r="O35" s="11"/>
      <c r="P35" s="7">
        <v>20972</v>
      </c>
      <c r="Q35" s="2"/>
      <c r="R35" s="6">
        <f t="shared" si="18"/>
        <v>6.4278365165662238E-2</v>
      </c>
      <c r="S35" s="2"/>
      <c r="T35" s="7">
        <v>13224.06067307695</v>
      </c>
      <c r="U35" s="2"/>
      <c r="V35" s="6">
        <f t="shared" si="19"/>
        <v>8.0955376021285275E-2</v>
      </c>
      <c r="W35" s="2"/>
      <c r="X35" s="7">
        <f t="shared" si="20"/>
        <v>7747.9393269230495</v>
      </c>
      <c r="Y35" s="2"/>
      <c r="Z35" s="6">
        <f t="shared" si="21"/>
        <v>0.58589713995317549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7">
        <v>1382.86</v>
      </c>
      <c r="E36" s="2"/>
      <c r="F36" s="6">
        <f t="shared" si="14"/>
        <v>2.766774140947701E-2</v>
      </c>
      <c r="G36" s="2"/>
      <c r="H36" s="7">
        <v>721.00779999999997</v>
      </c>
      <c r="I36" s="2"/>
      <c r="J36" s="6">
        <f t="shared" si="15"/>
        <v>1.4239035468836401E-2</v>
      </c>
      <c r="K36" s="2"/>
      <c r="L36" s="7">
        <f t="shared" si="16"/>
        <v>661.85219999999993</v>
      </c>
      <c r="M36" s="2"/>
      <c r="N36" s="6">
        <f t="shared" si="17"/>
        <v>0.91795428565405246</v>
      </c>
      <c r="O36" s="11"/>
      <c r="P36" s="7">
        <v>12125.28</v>
      </c>
      <c r="Q36" s="2"/>
      <c r="R36" s="6">
        <f t="shared" si="18"/>
        <v>3.7163512091164461E-2</v>
      </c>
      <c r="S36" s="2"/>
      <c r="T36" s="7">
        <v>4643.7125500000002</v>
      </c>
      <c r="U36" s="2"/>
      <c r="V36" s="6">
        <f t="shared" si="19"/>
        <v>2.8427992347719623E-2</v>
      </c>
      <c r="W36" s="2"/>
      <c r="X36" s="7">
        <f t="shared" si="20"/>
        <v>7481.5674500000005</v>
      </c>
      <c r="Y36" s="2"/>
      <c r="Z36" s="6">
        <f t="shared" si="21"/>
        <v>1.6111176928899271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7">
        <v>196.24</v>
      </c>
      <c r="E37" s="2"/>
      <c r="F37" s="6">
        <f t="shared" si="14"/>
        <v>3.9262959187450425E-3</v>
      </c>
      <c r="G37" s="2"/>
      <c r="H37" s="7">
        <v>350</v>
      </c>
      <c r="I37" s="2"/>
      <c r="J37" s="6">
        <f t="shared" si="15"/>
        <v>6.9120783632198434E-3</v>
      </c>
      <c r="K37" s="2"/>
      <c r="L37" s="7">
        <f t="shared" si="16"/>
        <v>-153.76</v>
      </c>
      <c r="M37" s="2"/>
      <c r="N37" s="6">
        <f t="shared" si="17"/>
        <v>-0.43931428571428571</v>
      </c>
      <c r="O37" s="11"/>
      <c r="P37" s="7">
        <v>3717.6</v>
      </c>
      <c r="Q37" s="2"/>
      <c r="R37" s="6">
        <f t="shared" si="18"/>
        <v>1.1394299558452505E-2</v>
      </c>
      <c r="S37" s="2"/>
      <c r="T37" s="7">
        <v>2800</v>
      </c>
      <c r="U37" s="2"/>
      <c r="V37" s="6">
        <f t="shared" si="19"/>
        <v>1.7141108050198958E-2</v>
      </c>
      <c r="W37" s="2"/>
      <c r="X37" s="7">
        <f t="shared" si="20"/>
        <v>917.59999999999991</v>
      </c>
      <c r="Y37" s="2"/>
      <c r="Z37" s="6">
        <f t="shared" si="21"/>
        <v>0.32771428571428568</v>
      </c>
    </row>
    <row r="38" spans="1:26" s="28" customFormat="1" outlineLevel="1" collapsed="1" x14ac:dyDescent="0.25">
      <c r="A38" s="29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25366.62</v>
      </c>
      <c r="E38" s="1"/>
      <c r="F38" s="5">
        <f t="shared" ref="F38:F48" si="22">IF(D$12=0,0,D38/D$12)</f>
        <v>0.50752576731734789</v>
      </c>
      <c r="G38" s="1"/>
      <c r="H38" s="1">
        <f>SUM(OSRRefH22_1x_0)</f>
        <v>27294.61089230769</v>
      </c>
      <c r="I38" s="1"/>
      <c r="J38" s="5">
        <f t="shared" ref="J38:J48" si="23">IF(H$12=0,0,H38/H$12)</f>
        <v>0.53903568394635615</v>
      </c>
      <c r="K38" s="1"/>
      <c r="L38" s="1">
        <f t="shared" ref="L38:L48" si="24">+D38-H38</f>
        <v>-1927.990892307691</v>
      </c>
      <c r="M38" s="1"/>
      <c r="N38" s="5">
        <f t="shared" ref="N38:N48" si="25">IF(H38=0,0,L38/H38)</f>
        <v>-7.0636320844238432E-2</v>
      </c>
      <c r="O38" s="14"/>
      <c r="P38" s="1">
        <f>SUM(OSRRefP22_1x_0)</f>
        <v>233504.28999999998</v>
      </c>
      <c r="Q38" s="1"/>
      <c r="R38" s="5">
        <f t="shared" ref="R38:R48" si="26">IF(P$12=0,0,P38/P$12)</f>
        <v>0.71568157640514463</v>
      </c>
      <c r="S38" s="1"/>
      <c r="T38" s="1">
        <f>SUM(OSRRefT22_1x_0)</f>
        <v>186598.63100769228</v>
      </c>
      <c r="U38" s="1"/>
      <c r="V38" s="5">
        <f t="shared" ref="V38:V48" si="27">IF(T$12=0,0,T38/T$12)</f>
        <v>1.1423240343293068</v>
      </c>
      <c r="W38" s="1"/>
      <c r="X38" s="1">
        <f t="shared" ref="X38:X48" si="28">+P38-T38</f>
        <v>46905.658992307697</v>
      </c>
      <c r="Y38" s="1"/>
      <c r="Z38" s="5">
        <f t="shared" ref="Z38:Z48" si="29">IF(T38=0,0,X38/T38)</f>
        <v>0.25137193525484158</v>
      </c>
    </row>
    <row r="39" spans="1:26" s="24" customFormat="1" hidden="1" outlineLevel="2" x14ac:dyDescent="0.25">
      <c r="A39" s="27"/>
      <c r="B39" s="11" t="str">
        <f>CONCATENATE("          ", "6001", " - ", "ADMINISTRATIVE SALARIES")</f>
        <v xml:space="preserve">          6001 - ADMINISTRATIVE SALARIES</v>
      </c>
      <c r="C39" s="11"/>
      <c r="D39" s="7">
        <v>10590.82</v>
      </c>
      <c r="E39" s="2"/>
      <c r="F39" s="6">
        <f t="shared" si="22"/>
        <v>0.2118971328075997</v>
      </c>
      <c r="G39" s="2"/>
      <c r="H39" s="7">
        <v>9962.3076923076896</v>
      </c>
      <c r="I39" s="2"/>
      <c r="J39" s="6">
        <f t="shared" si="23"/>
        <v>0.19674357556496741</v>
      </c>
      <c r="K39" s="2"/>
      <c r="L39" s="7">
        <f t="shared" si="24"/>
        <v>628.51230769231006</v>
      </c>
      <c r="M39" s="2"/>
      <c r="N39" s="6">
        <f t="shared" si="25"/>
        <v>6.3089027874295669E-2</v>
      </c>
      <c r="O39" s="11"/>
      <c r="P39" s="7">
        <v>87181.900000000009</v>
      </c>
      <c r="Q39" s="2"/>
      <c r="R39" s="6">
        <f t="shared" si="26"/>
        <v>0.26720913618330389</v>
      </c>
      <c r="S39" s="2"/>
      <c r="T39" s="7">
        <v>87170.192307692254</v>
      </c>
      <c r="U39" s="2"/>
      <c r="V39" s="6">
        <f t="shared" si="27"/>
        <v>0.53364060182241968</v>
      </c>
      <c r="W39" s="2"/>
      <c r="X39" s="7">
        <f t="shared" si="28"/>
        <v>11.707692307754769</v>
      </c>
      <c r="Y39" s="2"/>
      <c r="Z39" s="6">
        <f t="shared" si="29"/>
        <v>1.3430843729734016E-4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7">
        <v>14166.5</v>
      </c>
      <c r="E40" s="2"/>
      <c r="F40" s="6">
        <f t="shared" si="22"/>
        <v>0.28343798987414204</v>
      </c>
      <c r="G40" s="2"/>
      <c r="H40" s="7">
        <v>4543.7219999999998</v>
      </c>
      <c r="I40" s="2"/>
      <c r="J40" s="6">
        <f t="shared" si="23"/>
        <v>8.9733035784817117E-2</v>
      </c>
      <c r="K40" s="2"/>
      <c r="L40" s="7">
        <f t="shared" si="24"/>
        <v>9622.7780000000002</v>
      </c>
      <c r="M40" s="2"/>
      <c r="N40" s="6">
        <f t="shared" si="25"/>
        <v>2.1178183876566394</v>
      </c>
      <c r="O40" s="11"/>
      <c r="P40" s="7">
        <v>121260.59</v>
      </c>
      <c r="Q40" s="2"/>
      <c r="R40" s="6">
        <f t="shared" si="26"/>
        <v>0.37165899695897631</v>
      </c>
      <c r="S40" s="2"/>
      <c r="T40" s="7">
        <v>39757.567500000005</v>
      </c>
      <c r="U40" s="2"/>
      <c r="V40" s="6">
        <f t="shared" si="27"/>
        <v>0.24338884297520663</v>
      </c>
      <c r="W40" s="2"/>
      <c r="X40" s="7">
        <f t="shared" si="28"/>
        <v>81503.022499999992</v>
      </c>
      <c r="Y40" s="2"/>
      <c r="Z40" s="6">
        <f t="shared" si="29"/>
        <v>2.0500002295160535</v>
      </c>
    </row>
    <row r="41" spans="1:26" s="24" customFormat="1" hidden="1" outlineLevel="2" x14ac:dyDescent="0.25">
      <c r="A41" s="27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7"/>
      <c r="B42" s="11" t="str">
        <f>CONCATENATE("          ", "6004", " - ", "STAFF HOURLY")</f>
        <v xml:space="preserve">          6004 - STAFF HOURLY</v>
      </c>
      <c r="C42" s="11"/>
      <c r="D42" s="7">
        <v>284.3</v>
      </c>
      <c r="E42" s="2"/>
      <c r="F42" s="6">
        <f t="shared" si="22"/>
        <v>5.6881671917000387E-3</v>
      </c>
      <c r="G42" s="2"/>
      <c r="H42" s="7">
        <v>2966.4</v>
      </c>
      <c r="I42" s="2"/>
      <c r="J42" s="6">
        <f t="shared" si="23"/>
        <v>5.8582826447586701E-2</v>
      </c>
      <c r="K42" s="2"/>
      <c r="L42" s="7">
        <f t="shared" si="24"/>
        <v>-2682.1</v>
      </c>
      <c r="M42" s="2"/>
      <c r="N42" s="6">
        <f t="shared" si="25"/>
        <v>-0.9041599244875943</v>
      </c>
      <c r="O42" s="11"/>
      <c r="P42" s="7">
        <v>21769.38</v>
      </c>
      <c r="Q42" s="2"/>
      <c r="R42" s="6">
        <f t="shared" si="26"/>
        <v>6.6722303884706485E-2</v>
      </c>
      <c r="S42" s="2"/>
      <c r="T42" s="7">
        <v>23935.14</v>
      </c>
      <c r="U42" s="2"/>
      <c r="V42" s="6">
        <f t="shared" si="27"/>
        <v>0.1465267217630854</v>
      </c>
      <c r="W42" s="2"/>
      <c r="X42" s="7">
        <f t="shared" si="28"/>
        <v>-2165.7599999999984</v>
      </c>
      <c r="Y42" s="2"/>
      <c r="Z42" s="6">
        <f t="shared" si="29"/>
        <v>-9.0484534454362844E-2</v>
      </c>
    </row>
    <row r="43" spans="1:26" s="24" customFormat="1" hidden="1" outlineLevel="2" x14ac:dyDescent="0.25">
      <c r="A43" s="27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2"/>
        <v>0</v>
      </c>
      <c r="G43" s="2"/>
      <c r="H43" s="7">
        <v>6839.6639999999998</v>
      </c>
      <c r="I43" s="2"/>
      <c r="J43" s="6">
        <f t="shared" si="23"/>
        <v>0.13507512441741054</v>
      </c>
      <c r="K43" s="2"/>
      <c r="L43" s="7">
        <f t="shared" si="24"/>
        <v>-6839.6639999999998</v>
      </c>
      <c r="M43" s="2"/>
      <c r="N43" s="6">
        <f t="shared" si="25"/>
        <v>-1</v>
      </c>
      <c r="O43" s="11"/>
      <c r="P43" s="7">
        <v>2736.71</v>
      </c>
      <c r="Q43" s="2"/>
      <c r="R43" s="6">
        <f t="shared" si="26"/>
        <v>8.3879098194029906E-3</v>
      </c>
      <c r="S43" s="2"/>
      <c r="T43" s="7">
        <v>18536.7</v>
      </c>
      <c r="U43" s="2"/>
      <c r="V43" s="6">
        <f t="shared" si="27"/>
        <v>0.11347842056932966</v>
      </c>
      <c r="W43" s="2"/>
      <c r="X43" s="7">
        <f t="shared" si="28"/>
        <v>-15799.990000000002</v>
      </c>
      <c r="Y43" s="2"/>
      <c r="Z43" s="6">
        <f t="shared" si="29"/>
        <v>-0.85236261038911998</v>
      </c>
    </row>
    <row r="44" spans="1:26" s="24" customFormat="1" hidden="1" outlineLevel="2" x14ac:dyDescent="0.25">
      <c r="A44" s="27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7"/>
      <c r="B45" s="11" t="str">
        <f>CONCATENATE("          ", "6007", " - ", "STUDENT HOURLY")</f>
        <v xml:space="preserve">          6007 - STUDENT HOURLY</v>
      </c>
      <c r="C45" s="11"/>
      <c r="D45" s="7">
        <v>325</v>
      </c>
      <c r="E45" s="2"/>
      <c r="F45" s="6">
        <f t="shared" si="22"/>
        <v>6.5024774439061284E-3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325</v>
      </c>
      <c r="M45" s="2"/>
      <c r="N45" s="6">
        <f t="shared" si="25"/>
        <v>0</v>
      </c>
      <c r="O45" s="11"/>
      <c r="P45" s="7">
        <v>555.71</v>
      </c>
      <c r="Q45" s="2"/>
      <c r="R45" s="6">
        <f t="shared" si="26"/>
        <v>1.7032295587550146E-3</v>
      </c>
      <c r="S45" s="2"/>
      <c r="T45" s="7">
        <v>2446.34</v>
      </c>
      <c r="U45" s="2"/>
      <c r="V45" s="6">
        <f t="shared" si="27"/>
        <v>1.497606366697276E-2</v>
      </c>
      <c r="W45" s="2"/>
      <c r="X45" s="7">
        <f t="shared" si="28"/>
        <v>-1890.63</v>
      </c>
      <c r="Y45" s="2"/>
      <c r="Z45" s="6">
        <f t="shared" si="29"/>
        <v>-0.77284024297522014</v>
      </c>
    </row>
    <row r="46" spans="1:26" s="24" customFormat="1" hidden="1" outlineLevel="2" x14ac:dyDescent="0.25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2"/>
        <v>0</v>
      </c>
      <c r="G46" s="2"/>
      <c r="H46" s="7">
        <v>2982.5171999999998</v>
      </c>
      <c r="I46" s="2"/>
      <c r="J46" s="6">
        <f t="shared" si="23"/>
        <v>5.8901121731574371E-2</v>
      </c>
      <c r="K46" s="2"/>
      <c r="L46" s="7">
        <f t="shared" si="24"/>
        <v>-2982.5171999999998</v>
      </c>
      <c r="M46" s="2"/>
      <c r="N46" s="6">
        <f t="shared" si="25"/>
        <v>-1</v>
      </c>
      <c r="O46" s="11"/>
      <c r="P46" s="7"/>
      <c r="Q46" s="2"/>
      <c r="R46" s="6">
        <f t="shared" si="26"/>
        <v>0</v>
      </c>
      <c r="S46" s="2"/>
      <c r="T46" s="7">
        <v>14752.691199999999</v>
      </c>
      <c r="U46" s="2"/>
      <c r="V46" s="6">
        <f t="shared" si="27"/>
        <v>9.0313383532292624E-2</v>
      </c>
      <c r="W46" s="2"/>
      <c r="X46" s="7">
        <f t="shared" si="28"/>
        <v>-14752.691199999999</v>
      </c>
      <c r="Y46" s="2"/>
      <c r="Z46" s="6">
        <f t="shared" si="29"/>
        <v>-1</v>
      </c>
    </row>
    <row r="47" spans="1:26" s="24" customFormat="1" hidden="1" outlineLevel="2" x14ac:dyDescent="0.25">
      <c r="A47" s="27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7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2"/>
        <v>0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0</v>
      </c>
      <c r="M48" s="2"/>
      <c r="N48" s="6">
        <f t="shared" si="25"/>
        <v>0</v>
      </c>
      <c r="O48" s="11"/>
      <c r="P48" s="7"/>
      <c r="Q48" s="2"/>
      <c r="R48" s="6">
        <f t="shared" si="26"/>
        <v>0</v>
      </c>
      <c r="S48" s="2"/>
      <c r="T48" s="7">
        <v>0</v>
      </c>
      <c r="U48" s="2"/>
      <c r="V48" s="6">
        <f t="shared" si="27"/>
        <v>0</v>
      </c>
      <c r="W48" s="2"/>
      <c r="X48" s="7">
        <f t="shared" si="28"/>
        <v>0</v>
      </c>
      <c r="Y48" s="2"/>
      <c r="Z48" s="6">
        <f t="shared" si="29"/>
        <v>0</v>
      </c>
    </row>
    <row r="49" spans="1:26" s="28" customFormat="1" outlineLevel="1" collapsed="1" x14ac:dyDescent="0.25">
      <c r="A49" s="29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78.48</v>
      </c>
      <c r="E49" s="1"/>
      <c r="F49" s="5">
        <f t="shared" ref="F49:F58" si="30">IF(D$12=0,0,D49/D$12)</f>
        <v>1.5701982455315476E-3</v>
      </c>
      <c r="G49" s="1"/>
      <c r="H49" s="1">
        <f>SUM(OSRRefH22_2x_0)</f>
        <v>1076</v>
      </c>
      <c r="I49" s="1"/>
      <c r="J49" s="5">
        <f t="shared" ref="J49:J58" si="31">IF(H$12=0,0,H49/H$12)</f>
        <v>2.1249703768070147E-2</v>
      </c>
      <c r="K49" s="1"/>
      <c r="L49" s="1">
        <f t="shared" ref="L49:L58" si="32">+D49-H49</f>
        <v>-997.52</v>
      </c>
      <c r="M49" s="1"/>
      <c r="N49" s="5">
        <f t="shared" ref="N49:N58" si="33">IF(H49=0,0,L49/H49)</f>
        <v>-0.92706319702602225</v>
      </c>
      <c r="O49" s="14"/>
      <c r="P49" s="1">
        <f>SUM(OSRRefP22_2x_0)</f>
        <v>217.83</v>
      </c>
      <c r="Q49" s="1"/>
      <c r="R49" s="5">
        <f t="shared" ref="R49:R58" si="34">IF(P$12=0,0,P49/P$12)</f>
        <v>6.6764048655522628E-4</v>
      </c>
      <c r="S49" s="1"/>
      <c r="T49" s="1">
        <f>SUM(OSRRefT22_2x_0)</f>
        <v>5259</v>
      </c>
      <c r="U49" s="1"/>
      <c r="V49" s="5">
        <f t="shared" ref="V49:V58" si="35">IF(T$12=0,0,T49/T$12)</f>
        <v>3.2194674012855834E-2</v>
      </c>
      <c r="W49" s="1"/>
      <c r="X49" s="1">
        <f t="shared" ref="X49:X58" si="36">+P49-T49</f>
        <v>-5041.17</v>
      </c>
      <c r="Y49" s="1"/>
      <c r="Z49" s="5">
        <f t="shared" ref="Z49:Z58" si="37">IF(T49=0,0,X49/T49)</f>
        <v>-0.9585795778665146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7">
        <v>78.48</v>
      </c>
      <c r="E50" s="2"/>
      <c r="F50" s="6">
        <f t="shared" si="30"/>
        <v>1.5701982455315476E-3</v>
      </c>
      <c r="G50" s="2"/>
      <c r="H50" s="7">
        <v>1076</v>
      </c>
      <c r="I50" s="2"/>
      <c r="J50" s="6">
        <f t="shared" si="31"/>
        <v>2.1249703768070147E-2</v>
      </c>
      <c r="K50" s="2"/>
      <c r="L50" s="7">
        <f t="shared" si="32"/>
        <v>-997.52</v>
      </c>
      <c r="M50" s="2"/>
      <c r="N50" s="6">
        <f t="shared" si="33"/>
        <v>-0.92706319702602225</v>
      </c>
      <c r="O50" s="11"/>
      <c r="P50" s="7">
        <v>217.83</v>
      </c>
      <c r="Q50" s="2"/>
      <c r="R50" s="6">
        <f t="shared" si="34"/>
        <v>6.6764048655522628E-4</v>
      </c>
      <c r="S50" s="2"/>
      <c r="T50" s="7">
        <v>5259</v>
      </c>
      <c r="U50" s="2"/>
      <c r="V50" s="6">
        <f t="shared" si="35"/>
        <v>3.2194674012855834E-2</v>
      </c>
      <c r="W50" s="2"/>
      <c r="X50" s="7">
        <f t="shared" si="36"/>
        <v>-5041.17</v>
      </c>
      <c r="Y50" s="2"/>
      <c r="Z50" s="6">
        <f t="shared" si="37"/>
        <v>-0.9585795778665146</v>
      </c>
    </row>
    <row r="51" spans="1:26" s="28" customFormat="1" outlineLevel="1" collapsed="1" x14ac:dyDescent="0.25">
      <c r="A51" s="29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0</v>
      </c>
      <c r="E51" s="1"/>
      <c r="F51" s="5">
        <f t="shared" si="30"/>
        <v>0</v>
      </c>
      <c r="G51" s="1"/>
      <c r="H51" s="1">
        <f>SUM(OSRRefH22_3x_0)</f>
        <v>5</v>
      </c>
      <c r="I51" s="1"/>
      <c r="J51" s="5">
        <f t="shared" si="31"/>
        <v>9.8743976617426333E-5</v>
      </c>
      <c r="K51" s="1"/>
      <c r="L51" s="1">
        <f t="shared" si="32"/>
        <v>-5</v>
      </c>
      <c r="M51" s="1"/>
      <c r="N51" s="5">
        <f t="shared" si="33"/>
        <v>-1</v>
      </c>
      <c r="O51" s="14"/>
      <c r="P51" s="1">
        <f>SUM(OSRRefP22_3x_0)</f>
        <v>8.7899999999999991</v>
      </c>
      <c r="Q51" s="1"/>
      <c r="R51" s="5">
        <f t="shared" si="34"/>
        <v>2.6941008478264879E-5</v>
      </c>
      <c r="S51" s="1"/>
      <c r="T51" s="1">
        <f>SUM(OSRRefT22_3x_0)</f>
        <v>70</v>
      </c>
      <c r="U51" s="1"/>
      <c r="V51" s="5">
        <f t="shared" si="35"/>
        <v>4.2852770125497396E-4</v>
      </c>
      <c r="W51" s="1"/>
      <c r="X51" s="1">
        <f t="shared" si="36"/>
        <v>-61.21</v>
      </c>
      <c r="Y51" s="1"/>
      <c r="Z51" s="5">
        <f t="shared" si="37"/>
        <v>-0.87442857142857144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7"/>
      <c r="E52" s="2"/>
      <c r="F52" s="6">
        <f t="shared" si="30"/>
        <v>0</v>
      </c>
      <c r="G52" s="2"/>
      <c r="H52" s="7">
        <v>5</v>
      </c>
      <c r="I52" s="2"/>
      <c r="J52" s="6">
        <f t="shared" si="31"/>
        <v>9.8743976617426333E-5</v>
      </c>
      <c r="K52" s="2"/>
      <c r="L52" s="7">
        <f t="shared" si="32"/>
        <v>-5</v>
      </c>
      <c r="M52" s="2"/>
      <c r="N52" s="6">
        <f t="shared" si="33"/>
        <v>-1</v>
      </c>
      <c r="O52" s="11"/>
      <c r="P52" s="7">
        <v>8.7899999999999991</v>
      </c>
      <c r="Q52" s="2"/>
      <c r="R52" s="6">
        <f t="shared" si="34"/>
        <v>2.6941008478264879E-5</v>
      </c>
      <c r="S52" s="2"/>
      <c r="T52" s="7">
        <v>70</v>
      </c>
      <c r="U52" s="2"/>
      <c r="V52" s="6">
        <f t="shared" si="35"/>
        <v>4.2852770125497396E-4</v>
      </c>
      <c r="W52" s="2"/>
      <c r="X52" s="7">
        <f t="shared" si="36"/>
        <v>-61.21</v>
      </c>
      <c r="Y52" s="2"/>
      <c r="Z52" s="6">
        <f t="shared" si="37"/>
        <v>-0.87442857142857144</v>
      </c>
    </row>
    <row r="53" spans="1:26" s="28" customFormat="1" outlineLevel="1" collapsed="1" x14ac:dyDescent="0.25">
      <c r="A53" s="29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781.86</v>
      </c>
      <c r="E53" s="1"/>
      <c r="F53" s="5">
        <f t="shared" si="30"/>
        <v>1.5643160043976756E-2</v>
      </c>
      <c r="G53" s="1"/>
      <c r="H53" s="1">
        <f>SUM(OSRRefH22_4x_0)</f>
        <v>3095</v>
      </c>
      <c r="I53" s="1"/>
      <c r="J53" s="5">
        <f t="shared" si="31"/>
        <v>6.1122521526186906E-2</v>
      </c>
      <c r="K53" s="1"/>
      <c r="L53" s="1">
        <f t="shared" si="32"/>
        <v>-2313.14</v>
      </c>
      <c r="M53" s="1"/>
      <c r="N53" s="5">
        <f t="shared" si="33"/>
        <v>-0.74737964458804518</v>
      </c>
      <c r="O53" s="14"/>
      <c r="P53" s="1">
        <f>SUM(OSRRefP22_4x_0)</f>
        <v>4708.3900000000003</v>
      </c>
      <c r="Q53" s="1"/>
      <c r="R53" s="5">
        <f t="shared" si="34"/>
        <v>1.4431032412852969E-2</v>
      </c>
      <c r="S53" s="1"/>
      <c r="T53" s="1">
        <f>SUM(OSRRefT22_4x_0)</f>
        <v>24163</v>
      </c>
      <c r="U53" s="1"/>
      <c r="V53" s="5">
        <f t="shared" si="35"/>
        <v>0.14792164064891339</v>
      </c>
      <c r="W53" s="1"/>
      <c r="X53" s="1">
        <f t="shared" si="36"/>
        <v>-19454.61</v>
      </c>
      <c r="Y53" s="1"/>
      <c r="Z53" s="5">
        <f t="shared" si="37"/>
        <v>-0.80514050407648063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7">
        <v>781.86</v>
      </c>
      <c r="E54" s="2"/>
      <c r="F54" s="6">
        <f t="shared" si="30"/>
        <v>1.5643160043976756E-2</v>
      </c>
      <c r="G54" s="2"/>
      <c r="H54" s="7">
        <v>3095</v>
      </c>
      <c r="I54" s="2"/>
      <c r="J54" s="6">
        <f t="shared" si="31"/>
        <v>6.1122521526186906E-2</v>
      </c>
      <c r="K54" s="2"/>
      <c r="L54" s="7">
        <f t="shared" si="32"/>
        <v>-2313.14</v>
      </c>
      <c r="M54" s="2"/>
      <c r="N54" s="6">
        <f t="shared" si="33"/>
        <v>-0.74737964458804518</v>
      </c>
      <c r="O54" s="11"/>
      <c r="P54" s="7">
        <v>4708.3900000000003</v>
      </c>
      <c r="Q54" s="2"/>
      <c r="R54" s="6">
        <f t="shared" si="34"/>
        <v>1.4431032412852969E-2</v>
      </c>
      <c r="S54" s="2"/>
      <c r="T54" s="7">
        <v>24163</v>
      </c>
      <c r="U54" s="2"/>
      <c r="V54" s="6">
        <f t="shared" si="35"/>
        <v>0.14792164064891339</v>
      </c>
      <c r="W54" s="2"/>
      <c r="X54" s="7">
        <f t="shared" si="36"/>
        <v>-19454.61</v>
      </c>
      <c r="Y54" s="2"/>
      <c r="Z54" s="6">
        <f t="shared" si="37"/>
        <v>-0.80514050407648063</v>
      </c>
    </row>
    <row r="55" spans="1:26" s="28" customFormat="1" outlineLevel="1" collapsed="1" x14ac:dyDescent="0.25">
      <c r="A55" s="29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36720.759999999995</v>
      </c>
      <c r="E55" s="1"/>
      <c r="F55" s="5">
        <f t="shared" si="30"/>
        <v>0.73469511884027805</v>
      </c>
      <c r="G55" s="1"/>
      <c r="H55" s="1">
        <f>SUM(OSRRefH22_5x_0)</f>
        <v>37717</v>
      </c>
      <c r="I55" s="1"/>
      <c r="J55" s="5">
        <f t="shared" si="31"/>
        <v>0.74486531321589378</v>
      </c>
      <c r="K55" s="1"/>
      <c r="L55" s="1">
        <f t="shared" si="32"/>
        <v>-996.24000000000524</v>
      </c>
      <c r="M55" s="1"/>
      <c r="N55" s="5">
        <f t="shared" si="33"/>
        <v>-2.6413553570008359E-2</v>
      </c>
      <c r="O55" s="14"/>
      <c r="P55" s="1">
        <f>SUM(OSRRefP22_5x_0)</f>
        <v>296589.59999999998</v>
      </c>
      <c r="Q55" s="1"/>
      <c r="R55" s="5">
        <f t="shared" si="34"/>
        <v>0.90903560047385545</v>
      </c>
      <c r="S55" s="1"/>
      <c r="T55" s="1">
        <f>SUM(OSRRefT22_5x_0)</f>
        <v>304340</v>
      </c>
      <c r="U55" s="1"/>
      <c r="V55" s="5">
        <f t="shared" si="35"/>
        <v>1.863116008570554</v>
      </c>
      <c r="W55" s="1"/>
      <c r="X55" s="1">
        <f t="shared" si="36"/>
        <v>-7750.4000000000233</v>
      </c>
      <c r="Y55" s="1"/>
      <c r="Z55" s="5">
        <f t="shared" si="37"/>
        <v>-2.5466254846553273E-2</v>
      </c>
    </row>
    <row r="56" spans="1:26" s="24" customFormat="1" hidden="1" outlineLevel="2" x14ac:dyDescent="0.25">
      <c r="A56" s="27"/>
      <c r="B56" s="11" t="str">
        <f>CONCATENATE("          ", "6321", " - ", "BUILDING DEPRECIATION")</f>
        <v xml:space="preserve">          6321 - BUILDING DEPRECIATION</v>
      </c>
      <c r="C56" s="11"/>
      <c r="D56" s="7">
        <v>23583.489999999998</v>
      </c>
      <c r="E56" s="2"/>
      <c r="F56" s="6">
        <f t="shared" si="30"/>
        <v>0.47184957468795607</v>
      </c>
      <c r="G56" s="2"/>
      <c r="H56" s="7"/>
      <c r="I56" s="2"/>
      <c r="J56" s="6">
        <f t="shared" si="31"/>
        <v>0</v>
      </c>
      <c r="K56" s="2"/>
      <c r="L56" s="7">
        <f t="shared" si="32"/>
        <v>23583.489999999998</v>
      </c>
      <c r="M56" s="2"/>
      <c r="N56" s="6">
        <f t="shared" si="33"/>
        <v>0</v>
      </c>
      <c r="O56" s="11"/>
      <c r="P56" s="7">
        <v>189452.11</v>
      </c>
      <c r="Q56" s="2"/>
      <c r="R56" s="6">
        <f t="shared" si="34"/>
        <v>0.58066335628386467</v>
      </c>
      <c r="S56" s="2"/>
      <c r="T56" s="7"/>
      <c r="U56" s="2"/>
      <c r="V56" s="6">
        <f t="shared" si="35"/>
        <v>0</v>
      </c>
      <c r="W56" s="2"/>
      <c r="X56" s="7">
        <f t="shared" si="36"/>
        <v>189452.11</v>
      </c>
      <c r="Y56" s="2"/>
      <c r="Z56" s="6">
        <f t="shared" si="37"/>
        <v>0</v>
      </c>
    </row>
    <row r="57" spans="1:26" s="24" customFormat="1" hidden="1" outlineLevel="2" x14ac:dyDescent="0.2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13137.27</v>
      </c>
      <c r="E57" s="2"/>
      <c r="F57" s="6">
        <f t="shared" si="30"/>
        <v>0.26284554415232209</v>
      </c>
      <c r="G57" s="2"/>
      <c r="H57" s="7">
        <v>37167</v>
      </c>
      <c r="I57" s="2"/>
      <c r="J57" s="6">
        <f t="shared" si="31"/>
        <v>0.73400347578797698</v>
      </c>
      <c r="K57" s="2"/>
      <c r="L57" s="7">
        <f t="shared" si="32"/>
        <v>-24029.73</v>
      </c>
      <c r="M57" s="2"/>
      <c r="N57" s="6">
        <f t="shared" si="33"/>
        <v>-0.64653402211639355</v>
      </c>
      <c r="O57" s="11"/>
      <c r="P57" s="7">
        <v>107137.49</v>
      </c>
      <c r="Q57" s="2"/>
      <c r="R57" s="6">
        <f t="shared" si="34"/>
        <v>0.32837224418999078</v>
      </c>
      <c r="S57" s="2"/>
      <c r="T57" s="7">
        <v>299940</v>
      </c>
      <c r="U57" s="2"/>
      <c r="V57" s="6">
        <f t="shared" si="35"/>
        <v>1.836179981634527</v>
      </c>
      <c r="W57" s="2"/>
      <c r="X57" s="7">
        <f t="shared" si="36"/>
        <v>-192802.51</v>
      </c>
      <c r="Y57" s="2"/>
      <c r="Z57" s="6">
        <f t="shared" si="37"/>
        <v>-0.64280359405214382</v>
      </c>
    </row>
    <row r="58" spans="1:26" s="24" customFormat="1" hidden="1" outlineLevel="2" x14ac:dyDescent="0.25">
      <c r="A58" s="27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30"/>
        <v>0</v>
      </c>
      <c r="G58" s="2"/>
      <c r="H58" s="7">
        <v>550</v>
      </c>
      <c r="I58" s="2"/>
      <c r="J58" s="6">
        <f t="shared" si="31"/>
        <v>1.0861837427916897E-2</v>
      </c>
      <c r="K58" s="2"/>
      <c r="L58" s="7">
        <f t="shared" si="32"/>
        <v>-550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4400</v>
      </c>
      <c r="U58" s="2"/>
      <c r="V58" s="6">
        <f t="shared" si="35"/>
        <v>2.6936026936026935E-2</v>
      </c>
      <c r="W58" s="2"/>
      <c r="X58" s="7">
        <f t="shared" si="36"/>
        <v>-4400</v>
      </c>
      <c r="Y58" s="2"/>
      <c r="Z58" s="6">
        <f t="shared" si="37"/>
        <v>-1</v>
      </c>
    </row>
    <row r="59" spans="1:26" s="28" customFormat="1" outlineLevel="1" collapsed="1" x14ac:dyDescent="0.25">
      <c r="A59" s="29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77" si="38">IF(D$12=0,0,D59/D$12)</f>
        <v>0</v>
      </c>
      <c r="G59" s="1"/>
      <c r="H59" s="1">
        <f>SUM(OSRRefH22_6x_0)</f>
        <v>0</v>
      </c>
      <c r="I59" s="1"/>
      <c r="J59" s="5">
        <f t="shared" ref="J59:J77" si="39">IF(H$12=0,0,H59/H$12)</f>
        <v>0</v>
      </c>
      <c r="K59" s="1"/>
      <c r="L59" s="1">
        <f t="shared" ref="L59:L77" si="40">+D59-H59</f>
        <v>0</v>
      </c>
      <c r="M59" s="1"/>
      <c r="N59" s="5">
        <f t="shared" ref="N59:N77" si="41">IF(H59=0,0,L59/H59)</f>
        <v>0</v>
      </c>
      <c r="O59" s="14"/>
      <c r="P59" s="1">
        <f>SUM(OSRRefP22_6x_0)</f>
        <v>10</v>
      </c>
      <c r="Q59" s="1"/>
      <c r="R59" s="5">
        <f t="shared" ref="R59:R77" si="42">IF(P$12=0,0,P59/P$12)</f>
        <v>3.0649611465602826E-5</v>
      </c>
      <c r="S59" s="1"/>
      <c r="T59" s="1">
        <f>SUM(OSRRefT22_6x_0)</f>
        <v>100</v>
      </c>
      <c r="U59" s="1"/>
      <c r="V59" s="5">
        <f t="shared" ref="V59:V77" si="43">IF(T$12=0,0,T59/T$12)</f>
        <v>6.1218243036424854E-4</v>
      </c>
      <c r="W59" s="1"/>
      <c r="X59" s="1">
        <f t="shared" ref="X59:X77" si="44">+P59-T59</f>
        <v>-90</v>
      </c>
      <c r="Y59" s="1"/>
      <c r="Z59" s="5">
        <f t="shared" ref="Z59:Z77" si="45">IF(T59=0,0,X59/T59)</f>
        <v>-0.9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10</v>
      </c>
      <c r="Q60" s="2"/>
      <c r="R60" s="6">
        <f t="shared" si="42"/>
        <v>3.0649611465602826E-5</v>
      </c>
      <c r="S60" s="2"/>
      <c r="T60" s="7">
        <v>100</v>
      </c>
      <c r="U60" s="2"/>
      <c r="V60" s="6">
        <f t="shared" si="43"/>
        <v>6.1218243036424854E-4</v>
      </c>
      <c r="W60" s="2"/>
      <c r="X60" s="7">
        <f t="shared" si="44"/>
        <v>-90</v>
      </c>
      <c r="Y60" s="2"/>
      <c r="Z60" s="6">
        <f t="shared" si="45"/>
        <v>-0.9</v>
      </c>
    </row>
    <row r="61" spans="1:26" s="28" customFormat="1" outlineLevel="1" collapsed="1" x14ac:dyDescent="0.25">
      <c r="A61" s="29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255.55</v>
      </c>
      <c r="E61" s="1"/>
      <c r="F61" s="5">
        <f t="shared" si="38"/>
        <v>5.1129480332006497E-3</v>
      </c>
      <c r="G61" s="1"/>
      <c r="H61" s="1">
        <f>SUM(OSRRefH22_7x_0)</f>
        <v>311.33333333333297</v>
      </c>
      <c r="I61" s="1"/>
      <c r="J61" s="5">
        <f t="shared" si="39"/>
        <v>6.1484582773784057E-3</v>
      </c>
      <c r="K61" s="1"/>
      <c r="L61" s="1">
        <f t="shared" si="40"/>
        <v>-55.783333333332962</v>
      </c>
      <c r="M61" s="1"/>
      <c r="N61" s="5">
        <f t="shared" si="41"/>
        <v>-0.17917558886509538</v>
      </c>
      <c r="O61" s="14"/>
      <c r="P61" s="1">
        <f>SUM(OSRRefP22_7x_0)</f>
        <v>4720.43</v>
      </c>
      <c r="Q61" s="1"/>
      <c r="R61" s="5">
        <f t="shared" si="42"/>
        <v>1.4467934545057555E-2</v>
      </c>
      <c r="S61" s="1"/>
      <c r="T61" s="1">
        <f>SUM(OSRRefT22_7x_0)</f>
        <v>2604.6666666666638</v>
      </c>
      <c r="U61" s="1"/>
      <c r="V61" s="5">
        <f t="shared" si="43"/>
        <v>1.5945311702887443E-2</v>
      </c>
      <c r="W61" s="1"/>
      <c r="X61" s="1">
        <f t="shared" si="44"/>
        <v>2115.7633333333365</v>
      </c>
      <c r="Y61" s="1"/>
      <c r="Z61" s="5">
        <f t="shared" si="45"/>
        <v>0.8122971589454846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7">
        <v>255.55</v>
      </c>
      <c r="E62" s="2"/>
      <c r="F62" s="6">
        <f t="shared" si="38"/>
        <v>5.1129480332006497E-3</v>
      </c>
      <c r="G62" s="2"/>
      <c r="H62" s="7">
        <v>311.33333333333297</v>
      </c>
      <c r="I62" s="2"/>
      <c r="J62" s="6">
        <f t="shared" si="39"/>
        <v>6.1484582773784057E-3</v>
      </c>
      <c r="K62" s="2"/>
      <c r="L62" s="7">
        <f t="shared" si="40"/>
        <v>-55.783333333332962</v>
      </c>
      <c r="M62" s="2"/>
      <c r="N62" s="6">
        <f t="shared" si="41"/>
        <v>-0.17917558886509538</v>
      </c>
      <c r="O62" s="11"/>
      <c r="P62" s="7">
        <v>4720.43</v>
      </c>
      <c r="Q62" s="2"/>
      <c r="R62" s="6">
        <f t="shared" si="42"/>
        <v>1.4467934545057555E-2</v>
      </c>
      <c r="S62" s="2"/>
      <c r="T62" s="7">
        <v>2604.6666666666638</v>
      </c>
      <c r="U62" s="2"/>
      <c r="V62" s="6">
        <f t="shared" si="43"/>
        <v>1.5945311702887443E-2</v>
      </c>
      <c r="W62" s="2"/>
      <c r="X62" s="7">
        <f t="shared" si="44"/>
        <v>2115.7633333333365</v>
      </c>
      <c r="Y62" s="2"/>
      <c r="Z62" s="6">
        <f t="shared" si="45"/>
        <v>0.8122971589454846</v>
      </c>
    </row>
    <row r="63" spans="1:26" s="28" customFormat="1" outlineLevel="1" collapsed="1" x14ac:dyDescent="0.25">
      <c r="A63" s="29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38"/>
        <v>0</v>
      </c>
      <c r="G63" s="1"/>
      <c r="H63" s="1">
        <f>SUM(OSRRefH22_8x_0)</f>
        <v>0</v>
      </c>
      <c r="I63" s="1"/>
      <c r="J63" s="5">
        <f t="shared" si="39"/>
        <v>0</v>
      </c>
      <c r="K63" s="1"/>
      <c r="L63" s="1">
        <f t="shared" si="40"/>
        <v>0</v>
      </c>
      <c r="M63" s="1"/>
      <c r="N63" s="5">
        <f t="shared" si="41"/>
        <v>0</v>
      </c>
      <c r="O63" s="14"/>
      <c r="P63" s="1">
        <f>SUM(OSRRefP22_8x_0)</f>
        <v>-5.41</v>
      </c>
      <c r="Q63" s="1"/>
      <c r="R63" s="5">
        <f t="shared" si="42"/>
        <v>-1.6581439802891126E-5</v>
      </c>
      <c r="S63" s="1"/>
      <c r="T63" s="1">
        <f>SUM(OSRRefT22_8x_0)</f>
        <v>0</v>
      </c>
      <c r="U63" s="1"/>
      <c r="V63" s="5">
        <f t="shared" si="43"/>
        <v>0</v>
      </c>
      <c r="W63" s="1"/>
      <c r="X63" s="1">
        <f t="shared" si="44"/>
        <v>-5.41</v>
      </c>
      <c r="Y63" s="1"/>
      <c r="Z63" s="5">
        <f t="shared" si="45"/>
        <v>0</v>
      </c>
    </row>
    <row r="64" spans="1:26" s="24" customFormat="1" hidden="1" outlineLevel="2" x14ac:dyDescent="0.25">
      <c r="A64" s="27"/>
      <c r="B64" s="11" t="str">
        <f>CONCATENATE("          ", "6307", " - ", "POSTAGE")</f>
        <v xml:space="preserve">          6307 - POSTAGE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>
        <v>-5.41</v>
      </c>
      <c r="Q64" s="2"/>
      <c r="R64" s="6">
        <f t="shared" si="42"/>
        <v>-1.6581439802891126E-5</v>
      </c>
      <c r="S64" s="2"/>
      <c r="T64" s="7"/>
      <c r="U64" s="2"/>
      <c r="V64" s="6">
        <f t="shared" si="43"/>
        <v>0</v>
      </c>
      <c r="W64" s="2"/>
      <c r="X64" s="7">
        <f t="shared" si="44"/>
        <v>-5.41</v>
      </c>
      <c r="Y64" s="2"/>
      <c r="Z64" s="6">
        <f t="shared" si="45"/>
        <v>0</v>
      </c>
    </row>
    <row r="65" spans="1:26" s="28" customFormat="1" outlineLevel="1" collapsed="1" x14ac:dyDescent="0.25">
      <c r="A65" s="29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1893.03</v>
      </c>
      <c r="E65" s="1"/>
      <c r="F65" s="5">
        <f t="shared" si="38"/>
        <v>3.7875030386577288E-2</v>
      </c>
      <c r="G65" s="1"/>
      <c r="H65" s="1">
        <f>SUM(OSRRefH22_9x_0)</f>
        <v>1800</v>
      </c>
      <c r="I65" s="1"/>
      <c r="J65" s="5">
        <f t="shared" si="39"/>
        <v>3.5547831582273481E-2</v>
      </c>
      <c r="K65" s="1"/>
      <c r="L65" s="1">
        <f t="shared" si="40"/>
        <v>93.029999999999973</v>
      </c>
      <c r="M65" s="1"/>
      <c r="N65" s="5">
        <f t="shared" si="41"/>
        <v>5.1683333333333317E-2</v>
      </c>
      <c r="O65" s="14"/>
      <c r="P65" s="1">
        <f>SUM(OSRRefP22_9x_0)</f>
        <v>6970.48</v>
      </c>
      <c r="Q65" s="1"/>
      <c r="R65" s="5">
        <f t="shared" si="42"/>
        <v>2.1364250372875516E-2</v>
      </c>
      <c r="S65" s="1"/>
      <c r="T65" s="1">
        <f>SUM(OSRRefT22_9x_0)</f>
        <v>6610</v>
      </c>
      <c r="U65" s="1"/>
      <c r="V65" s="5">
        <f t="shared" si="43"/>
        <v>4.0465258647076827E-2</v>
      </c>
      <c r="W65" s="1"/>
      <c r="X65" s="1">
        <f t="shared" si="44"/>
        <v>360.47999999999956</v>
      </c>
      <c r="Y65" s="1"/>
      <c r="Z65" s="5">
        <f t="shared" si="45"/>
        <v>5.4535552193645927E-2</v>
      </c>
    </row>
    <row r="66" spans="1:26" s="24" customFormat="1" hidden="1" outlineLevel="2" x14ac:dyDescent="0.25">
      <c r="A66" s="27"/>
      <c r="B66" s="11" t="str">
        <f>CONCATENATE("          ", "6279", " - ", "GENERAL EXPENSE")</f>
        <v xml:space="preserve">          6279 - GENERAL EXPENSE</v>
      </c>
      <c r="C66" s="11"/>
      <c r="D66" s="7">
        <v>1893.03</v>
      </c>
      <c r="E66" s="2"/>
      <c r="F66" s="6">
        <f t="shared" si="38"/>
        <v>3.7875030386577288E-2</v>
      </c>
      <c r="G66" s="2"/>
      <c r="H66" s="7">
        <v>1800</v>
      </c>
      <c r="I66" s="2"/>
      <c r="J66" s="6">
        <f t="shared" si="39"/>
        <v>3.5547831582273481E-2</v>
      </c>
      <c r="K66" s="2"/>
      <c r="L66" s="7">
        <f t="shared" si="40"/>
        <v>93.029999999999973</v>
      </c>
      <c r="M66" s="2"/>
      <c r="N66" s="6">
        <f t="shared" si="41"/>
        <v>5.1683333333333317E-2</v>
      </c>
      <c r="O66" s="11"/>
      <c r="P66" s="7">
        <v>6970.48</v>
      </c>
      <c r="Q66" s="2"/>
      <c r="R66" s="6">
        <f t="shared" si="42"/>
        <v>2.1364250372875516E-2</v>
      </c>
      <c r="S66" s="2"/>
      <c r="T66" s="7">
        <v>6610</v>
      </c>
      <c r="U66" s="2"/>
      <c r="V66" s="6">
        <f t="shared" si="43"/>
        <v>4.0465258647076827E-2</v>
      </c>
      <c r="W66" s="2"/>
      <c r="X66" s="7">
        <f t="shared" si="44"/>
        <v>360.47999999999956</v>
      </c>
      <c r="Y66" s="2"/>
      <c r="Z66" s="6">
        <f t="shared" si="45"/>
        <v>5.4535552193645927E-2</v>
      </c>
    </row>
    <row r="67" spans="1:26" s="28" customFormat="1" outlineLevel="1" collapsed="1" x14ac:dyDescent="0.25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4240.13</v>
      </c>
      <c r="E67" s="1"/>
      <c r="F67" s="5">
        <f t="shared" si="38"/>
        <v>8.4834922105322133E-2</v>
      </c>
      <c r="G67" s="1"/>
      <c r="H67" s="1">
        <f>SUM(OSRRefH22_10x_0)</f>
        <v>4565</v>
      </c>
      <c r="I67" s="1"/>
      <c r="J67" s="5">
        <f t="shared" si="39"/>
        <v>9.0153250651710246E-2</v>
      </c>
      <c r="K67" s="1"/>
      <c r="L67" s="1">
        <f t="shared" si="40"/>
        <v>-324.86999999999989</v>
      </c>
      <c r="M67" s="1"/>
      <c r="N67" s="5">
        <f t="shared" si="41"/>
        <v>-7.1165388828039411E-2</v>
      </c>
      <c r="O67" s="14"/>
      <c r="P67" s="1">
        <f>SUM(OSRRefP22_10x_0)</f>
        <v>40033.040000000001</v>
      </c>
      <c r="Q67" s="1"/>
      <c r="R67" s="5">
        <f t="shared" si="42"/>
        <v>0.12269971217869365</v>
      </c>
      <c r="S67" s="1"/>
      <c r="T67" s="1">
        <f>SUM(OSRRefT22_10x_0)</f>
        <v>36520</v>
      </c>
      <c r="U67" s="1"/>
      <c r="V67" s="5">
        <f t="shared" si="43"/>
        <v>0.22356902356902356</v>
      </c>
      <c r="W67" s="1"/>
      <c r="X67" s="1">
        <f t="shared" si="44"/>
        <v>3513.0400000000009</v>
      </c>
      <c r="Y67" s="1"/>
      <c r="Z67" s="5">
        <f t="shared" si="45"/>
        <v>9.6194961664841205E-2</v>
      </c>
    </row>
    <row r="68" spans="1:26" s="24" customFormat="1" hidden="1" outlineLevel="2" x14ac:dyDescent="0.25">
      <c r="A68" s="27"/>
      <c r="B68" s="11" t="str">
        <f>CONCATENATE("          ", "6314", " - ", "LIABILITY INSURANCE")</f>
        <v xml:space="preserve">          6314 - LIABILITY INSURANCE</v>
      </c>
      <c r="C68" s="11"/>
      <c r="D68" s="7">
        <v>4240.13</v>
      </c>
      <c r="E68" s="2"/>
      <c r="F68" s="6">
        <f t="shared" si="38"/>
        <v>8.4834922105322133E-2</v>
      </c>
      <c r="G68" s="2"/>
      <c r="H68" s="7">
        <v>4565</v>
      </c>
      <c r="I68" s="2"/>
      <c r="J68" s="6">
        <f t="shared" si="39"/>
        <v>9.0153250651710246E-2</v>
      </c>
      <c r="K68" s="2"/>
      <c r="L68" s="7">
        <f t="shared" si="40"/>
        <v>-324.86999999999989</v>
      </c>
      <c r="M68" s="2"/>
      <c r="N68" s="6">
        <f t="shared" si="41"/>
        <v>-7.1165388828039411E-2</v>
      </c>
      <c r="O68" s="11"/>
      <c r="P68" s="7">
        <v>40033.040000000001</v>
      </c>
      <c r="Q68" s="2"/>
      <c r="R68" s="6">
        <f t="shared" si="42"/>
        <v>0.12269971217869365</v>
      </c>
      <c r="S68" s="2"/>
      <c r="T68" s="7">
        <v>36520</v>
      </c>
      <c r="U68" s="2"/>
      <c r="V68" s="6">
        <f t="shared" si="43"/>
        <v>0.22356902356902356</v>
      </c>
      <c r="W68" s="2"/>
      <c r="X68" s="7">
        <f t="shared" si="44"/>
        <v>3513.0400000000009</v>
      </c>
      <c r="Y68" s="2"/>
      <c r="Z68" s="6">
        <f t="shared" si="45"/>
        <v>9.6194961664841205E-2</v>
      </c>
    </row>
    <row r="69" spans="1:26" s="28" customFormat="1" outlineLevel="1" collapsed="1" x14ac:dyDescent="0.25">
      <c r="A69" s="29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7510</v>
      </c>
      <c r="E69" s="1"/>
      <c r="F69" s="5">
        <f t="shared" si="38"/>
        <v>0.1502572480114924</v>
      </c>
      <c r="G69" s="1"/>
      <c r="H69" s="1">
        <f>SUM(OSRRefH22_11x_0)</f>
        <v>7510</v>
      </c>
      <c r="I69" s="1"/>
      <c r="J69" s="5">
        <f t="shared" si="39"/>
        <v>0.14831345287937436</v>
      </c>
      <c r="K69" s="1"/>
      <c r="L69" s="1">
        <f t="shared" si="40"/>
        <v>0</v>
      </c>
      <c r="M69" s="1"/>
      <c r="N69" s="5">
        <f t="shared" si="41"/>
        <v>0</v>
      </c>
      <c r="O69" s="14"/>
      <c r="P69" s="1">
        <f>SUM(OSRRefP22_11x_0)</f>
        <v>59593.149999999994</v>
      </c>
      <c r="Q69" s="1"/>
      <c r="R69" s="5">
        <f t="shared" si="42"/>
        <v>0.18265068935113887</v>
      </c>
      <c r="S69" s="1"/>
      <c r="T69" s="1">
        <f>SUM(OSRRefT22_11x_0)</f>
        <v>60080</v>
      </c>
      <c r="U69" s="1"/>
      <c r="V69" s="5">
        <f t="shared" si="43"/>
        <v>0.36779920416284051</v>
      </c>
      <c r="W69" s="1"/>
      <c r="X69" s="1">
        <f t="shared" si="44"/>
        <v>-486.85000000000582</v>
      </c>
      <c r="Y69" s="1"/>
      <c r="Z69" s="5">
        <f t="shared" si="45"/>
        <v>-8.1033621837550904E-3</v>
      </c>
    </row>
    <row r="70" spans="1:26" s="24" customFormat="1" hidden="1" outlineLevel="2" x14ac:dyDescent="0.25">
      <c r="A70" s="27"/>
      <c r="B70" s="11" t="str">
        <f>CONCATENATE("          ", "6401", " - ", "INTEREST EXPENSE")</f>
        <v xml:space="preserve">          6401 - INTEREST EXPENSE</v>
      </c>
      <c r="C70" s="11"/>
      <c r="D70" s="7">
        <v>7510</v>
      </c>
      <c r="E70" s="2"/>
      <c r="F70" s="6">
        <f t="shared" si="38"/>
        <v>0.1502572480114924</v>
      </c>
      <c r="G70" s="2"/>
      <c r="H70" s="7">
        <v>7510</v>
      </c>
      <c r="I70" s="2"/>
      <c r="J70" s="6">
        <f t="shared" si="39"/>
        <v>0.14831345287937436</v>
      </c>
      <c r="K70" s="2"/>
      <c r="L70" s="7">
        <f t="shared" si="40"/>
        <v>0</v>
      </c>
      <c r="M70" s="2"/>
      <c r="N70" s="6">
        <f t="shared" si="41"/>
        <v>0</v>
      </c>
      <c r="O70" s="11"/>
      <c r="P70" s="7">
        <v>59593.149999999994</v>
      </c>
      <c r="Q70" s="2"/>
      <c r="R70" s="6">
        <f t="shared" si="42"/>
        <v>0.18265068935113887</v>
      </c>
      <c r="S70" s="2"/>
      <c r="T70" s="7">
        <v>60080</v>
      </c>
      <c r="U70" s="2"/>
      <c r="V70" s="6">
        <f t="shared" si="43"/>
        <v>0.36779920416284051</v>
      </c>
      <c r="W70" s="2"/>
      <c r="X70" s="7">
        <f t="shared" si="44"/>
        <v>-486.85000000000582</v>
      </c>
      <c r="Y70" s="2"/>
      <c r="Z70" s="6">
        <f t="shared" si="45"/>
        <v>-8.1033621837550904E-3</v>
      </c>
    </row>
    <row r="71" spans="1:26" s="28" customFormat="1" outlineLevel="1" collapsed="1" x14ac:dyDescent="0.25">
      <c r="A71" s="29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0</v>
      </c>
      <c r="E71" s="1"/>
      <c r="F71" s="5">
        <f t="shared" si="38"/>
        <v>0</v>
      </c>
      <c r="G71" s="1"/>
      <c r="H71" s="1">
        <f>SUM(OSRRefH22_12x_0)</f>
        <v>1943</v>
      </c>
      <c r="I71" s="1"/>
      <c r="J71" s="5">
        <f t="shared" si="39"/>
        <v>3.8371909313531877E-2</v>
      </c>
      <c r="K71" s="1"/>
      <c r="L71" s="1">
        <f t="shared" si="40"/>
        <v>-1943</v>
      </c>
      <c r="M71" s="1"/>
      <c r="N71" s="5">
        <f t="shared" si="41"/>
        <v>-1</v>
      </c>
      <c r="O71" s="14"/>
      <c r="P71" s="1">
        <f>SUM(OSRRefP22_12x_0)</f>
        <v>11100</v>
      </c>
      <c r="Q71" s="1"/>
      <c r="R71" s="5">
        <f t="shared" si="42"/>
        <v>3.4021068726819134E-2</v>
      </c>
      <c r="S71" s="1"/>
      <c r="T71" s="1">
        <f>SUM(OSRRefT22_12x_0)</f>
        <v>15544</v>
      </c>
      <c r="U71" s="1"/>
      <c r="V71" s="5">
        <f t="shared" si="43"/>
        <v>9.5157636975818791E-2</v>
      </c>
      <c r="W71" s="1"/>
      <c r="X71" s="1">
        <f t="shared" si="44"/>
        <v>-4444</v>
      </c>
      <c r="Y71" s="1"/>
      <c r="Z71" s="5">
        <f t="shared" si="45"/>
        <v>-0.28589809572825525</v>
      </c>
    </row>
    <row r="72" spans="1:26" s="24" customFormat="1" hidden="1" outlineLevel="2" x14ac:dyDescent="0.25">
      <c r="A72" s="27"/>
      <c r="B72" s="11" t="str">
        <f>CONCATENATE("          ", "6273", " - ", "RENT")</f>
        <v xml:space="preserve">          6273 - RENT</v>
      </c>
      <c r="C72" s="11"/>
      <c r="D72" s="7"/>
      <c r="E72" s="2"/>
      <c r="F72" s="6">
        <f t="shared" si="38"/>
        <v>0</v>
      </c>
      <c r="G72" s="2"/>
      <c r="H72" s="7">
        <v>1943</v>
      </c>
      <c r="I72" s="2"/>
      <c r="J72" s="6">
        <f t="shared" si="39"/>
        <v>3.8371909313531877E-2</v>
      </c>
      <c r="K72" s="2"/>
      <c r="L72" s="7">
        <f t="shared" si="40"/>
        <v>-1943</v>
      </c>
      <c r="M72" s="2"/>
      <c r="N72" s="6">
        <f t="shared" si="41"/>
        <v>-1</v>
      </c>
      <c r="O72" s="11"/>
      <c r="P72" s="7">
        <v>11100</v>
      </c>
      <c r="Q72" s="2"/>
      <c r="R72" s="6">
        <f t="shared" si="42"/>
        <v>3.4021068726819134E-2</v>
      </c>
      <c r="S72" s="2"/>
      <c r="T72" s="7">
        <v>15544</v>
      </c>
      <c r="U72" s="2"/>
      <c r="V72" s="6">
        <f t="shared" si="43"/>
        <v>9.5157636975818791E-2</v>
      </c>
      <c r="W72" s="2"/>
      <c r="X72" s="7">
        <f t="shared" si="44"/>
        <v>-4444</v>
      </c>
      <c r="Y72" s="2"/>
      <c r="Z72" s="6">
        <f t="shared" si="45"/>
        <v>-0.28589809572825525</v>
      </c>
    </row>
    <row r="73" spans="1:26" s="28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2036.1299999999999</v>
      </c>
      <c r="E73" s="1"/>
      <c r="F73" s="5">
        <f t="shared" si="38"/>
        <v>4.0738121224186415E-2</v>
      </c>
      <c r="G73" s="1"/>
      <c r="H73" s="1">
        <f>SUM(OSRRefH22_13x_0)</f>
        <v>1071</v>
      </c>
      <c r="I73" s="1"/>
      <c r="J73" s="5">
        <f t="shared" si="39"/>
        <v>2.115095979145272E-2</v>
      </c>
      <c r="K73" s="1"/>
      <c r="L73" s="1">
        <f t="shared" si="40"/>
        <v>965.12999999999988</v>
      </c>
      <c r="M73" s="1"/>
      <c r="N73" s="5">
        <f t="shared" si="41"/>
        <v>0.90114845938375343</v>
      </c>
      <c r="O73" s="14"/>
      <c r="P73" s="1">
        <f>SUM(OSRRefP22_13x_0)</f>
        <v>24804.32</v>
      </c>
      <c r="Q73" s="1"/>
      <c r="R73" s="5">
        <f t="shared" si="42"/>
        <v>7.6024277066848139E-2</v>
      </c>
      <c r="S73" s="1"/>
      <c r="T73" s="1">
        <f>SUM(OSRRefT22_13x_0)</f>
        <v>20963</v>
      </c>
      <c r="U73" s="1"/>
      <c r="V73" s="5">
        <f t="shared" si="43"/>
        <v>0.12833180287725743</v>
      </c>
      <c r="W73" s="1"/>
      <c r="X73" s="1">
        <f t="shared" si="44"/>
        <v>3841.3199999999997</v>
      </c>
      <c r="Y73" s="1"/>
      <c r="Z73" s="5">
        <f t="shared" si="45"/>
        <v>0.18324285646138433</v>
      </c>
    </row>
    <row r="74" spans="1:26" s="24" customFormat="1" hidden="1" outlineLevel="2" x14ac:dyDescent="0.25">
      <c r="A74" s="27"/>
      <c r="B74" s="11" t="str">
        <f>CONCATENATE("          ", "6371", " - ", "COMPUTER SOFTWARE MAINTENANCE")</f>
        <v xml:space="preserve">          6371 - COMPUTER SOFTWARE MAINTENANCE</v>
      </c>
      <c r="C74" s="11"/>
      <c r="D74" s="7">
        <v>702.27</v>
      </c>
      <c r="E74" s="2"/>
      <c r="F74" s="6">
        <f t="shared" si="38"/>
        <v>1.4050753337021406E-2</v>
      </c>
      <c r="G74" s="2"/>
      <c r="H74" s="7"/>
      <c r="I74" s="2"/>
      <c r="J74" s="6">
        <f t="shared" si="39"/>
        <v>0</v>
      </c>
      <c r="K74" s="2"/>
      <c r="L74" s="7">
        <f t="shared" si="40"/>
        <v>702.27</v>
      </c>
      <c r="M74" s="2"/>
      <c r="N74" s="6">
        <f t="shared" si="41"/>
        <v>0</v>
      </c>
      <c r="O74" s="11"/>
      <c r="P74" s="7">
        <v>702.27</v>
      </c>
      <c r="Q74" s="2"/>
      <c r="R74" s="6">
        <f t="shared" si="42"/>
        <v>2.1524302643948895E-3</v>
      </c>
      <c r="S74" s="2"/>
      <c r="T74" s="7">
        <v>0</v>
      </c>
      <c r="U74" s="2"/>
      <c r="V74" s="6">
        <f t="shared" si="43"/>
        <v>0</v>
      </c>
      <c r="W74" s="2"/>
      <c r="X74" s="7">
        <f t="shared" si="44"/>
        <v>702.27</v>
      </c>
      <c r="Y74" s="2"/>
      <c r="Z74" s="6">
        <f t="shared" si="45"/>
        <v>0</v>
      </c>
    </row>
    <row r="75" spans="1:26" s="24" customFormat="1" hidden="1" outlineLevel="2" x14ac:dyDescent="0.25">
      <c r="A75" s="27"/>
      <c r="B75" s="11" t="str">
        <f>CONCATENATE("          ", "6372", " - ", "COMPUTER HARDWARE MAINTENANCE")</f>
        <v xml:space="preserve">          6372 - COMPUTER HARDWARE MAINTENANCE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0</v>
      </c>
      <c r="U75" s="2"/>
      <c r="V75" s="6">
        <f t="shared" si="43"/>
        <v>0</v>
      </c>
      <c r="W75" s="2"/>
      <c r="X75" s="7">
        <f t="shared" si="44"/>
        <v>0</v>
      </c>
      <c r="Y75" s="2"/>
      <c r="Z75" s="6">
        <f t="shared" si="45"/>
        <v>0</v>
      </c>
    </row>
    <row r="76" spans="1:26" s="24" customFormat="1" hidden="1" outlineLevel="2" x14ac:dyDescent="0.25">
      <c r="A76" s="27"/>
      <c r="B76" s="11" t="str">
        <f>CONCATENATE("          ", "6373", " - ", "MAINTENANCE CONTRACTS")</f>
        <v xml:space="preserve">          6373 - MAINTENANCE CONTRACTS</v>
      </c>
      <c r="C76" s="11"/>
      <c r="D76" s="7"/>
      <c r="E76" s="2"/>
      <c r="F76" s="6">
        <f t="shared" si="38"/>
        <v>0</v>
      </c>
      <c r="G76" s="2"/>
      <c r="H76" s="7">
        <v>0</v>
      </c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>
        <v>11021.44</v>
      </c>
      <c r="Q76" s="2"/>
      <c r="R76" s="6">
        <f t="shared" si="42"/>
        <v>3.3780285379145361E-2</v>
      </c>
      <c r="S76" s="2"/>
      <c r="T76" s="7">
        <v>3769</v>
      </c>
      <c r="U76" s="2"/>
      <c r="V76" s="6">
        <f t="shared" si="43"/>
        <v>2.3073155800428527E-2</v>
      </c>
      <c r="W76" s="2"/>
      <c r="X76" s="7">
        <f t="shared" si="44"/>
        <v>7252.4400000000005</v>
      </c>
      <c r="Y76" s="2"/>
      <c r="Z76" s="6">
        <f t="shared" si="45"/>
        <v>1.9242345449721412</v>
      </c>
    </row>
    <row r="77" spans="1:26" s="24" customFormat="1" hidden="1" outlineLevel="2" x14ac:dyDescent="0.25">
      <c r="A77" s="27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1333.86</v>
      </c>
      <c r="E77" s="2"/>
      <c r="F77" s="6">
        <f t="shared" si="38"/>
        <v>2.6687367887165008E-2</v>
      </c>
      <c r="G77" s="2"/>
      <c r="H77" s="7">
        <v>1071</v>
      </c>
      <c r="I77" s="2"/>
      <c r="J77" s="6">
        <f t="shared" si="39"/>
        <v>2.115095979145272E-2</v>
      </c>
      <c r="K77" s="2"/>
      <c r="L77" s="7">
        <f t="shared" si="40"/>
        <v>262.8599999999999</v>
      </c>
      <c r="M77" s="2"/>
      <c r="N77" s="6">
        <f t="shared" si="41"/>
        <v>0.24543417366946768</v>
      </c>
      <c r="O77" s="11"/>
      <c r="P77" s="7">
        <v>13080.61</v>
      </c>
      <c r="Q77" s="2"/>
      <c r="R77" s="6">
        <f t="shared" si="42"/>
        <v>4.0091561423307893E-2</v>
      </c>
      <c r="S77" s="2"/>
      <c r="T77" s="7">
        <v>17194</v>
      </c>
      <c r="U77" s="2"/>
      <c r="V77" s="6">
        <f t="shared" si="43"/>
        <v>0.1052586470768289</v>
      </c>
      <c r="W77" s="2"/>
      <c r="X77" s="7">
        <f t="shared" si="44"/>
        <v>-4113.3899999999994</v>
      </c>
      <c r="Y77" s="2"/>
      <c r="Z77" s="6">
        <f t="shared" si="45"/>
        <v>-0.23923403512853317</v>
      </c>
    </row>
    <row r="78" spans="1:26" s="28" customFormat="1" outlineLevel="1" collapsed="1" x14ac:dyDescent="0.25">
      <c r="A78" s="29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6">IF(D$12=0,0,D78/D$12)</f>
        <v>0</v>
      </c>
      <c r="G78" s="1"/>
      <c r="H78" s="1">
        <f>SUM(OSRRefH22_14x_0)</f>
        <v>0</v>
      </c>
      <c r="I78" s="1"/>
      <c r="J78" s="5">
        <f t="shared" ref="J78:J80" si="47">IF(H$12=0,0,H78/H$12)</f>
        <v>0</v>
      </c>
      <c r="K78" s="1"/>
      <c r="L78" s="1">
        <f t="shared" ref="L78:L80" si="48">+D78-H78</f>
        <v>0</v>
      </c>
      <c r="M78" s="1"/>
      <c r="N78" s="5">
        <f t="shared" ref="N78:N80" si="49">IF(H78=0,0,L78/H78)</f>
        <v>0</v>
      </c>
      <c r="O78" s="14"/>
      <c r="P78" s="1">
        <f>SUM(OSRRefP22_14x_0)</f>
        <v>0</v>
      </c>
      <c r="Q78" s="1"/>
      <c r="R78" s="5">
        <f t="shared" ref="R78:R80" si="50">IF(P$12=0,0,P78/P$12)</f>
        <v>0</v>
      </c>
      <c r="S78" s="1"/>
      <c r="T78" s="1">
        <f>SUM(OSRRefT22_14x_0)</f>
        <v>0</v>
      </c>
      <c r="U78" s="1"/>
      <c r="V78" s="5">
        <f t="shared" ref="V78:V80" si="51">IF(T$12=0,0,T78/T$12)</f>
        <v>0</v>
      </c>
      <c r="W78" s="1"/>
      <c r="X78" s="1">
        <f t="shared" ref="X78:X80" si="52">+P78-T78</f>
        <v>0</v>
      </c>
      <c r="Y78" s="1"/>
      <c r="Z78" s="5">
        <f t="shared" ref="Z78:Z80" si="53">IF(T78=0,0,X78/T78)</f>
        <v>0</v>
      </c>
    </row>
    <row r="79" spans="1:26" s="24" customFormat="1" hidden="1" outlineLevel="2" x14ac:dyDescent="0.25">
      <c r="A79" s="27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46"/>
        <v>0</v>
      </c>
      <c r="G79" s="2"/>
      <c r="H79" s="7">
        <v>0</v>
      </c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0</v>
      </c>
      <c r="U79" s="2"/>
      <c r="V79" s="6">
        <f t="shared" si="51"/>
        <v>0</v>
      </c>
      <c r="W79" s="2"/>
      <c r="X79" s="7">
        <f t="shared" si="52"/>
        <v>0</v>
      </c>
      <c r="Y79" s="2"/>
      <c r="Z79" s="6">
        <f t="shared" si="53"/>
        <v>0</v>
      </c>
    </row>
    <row r="80" spans="1:26" s="24" customFormat="1" hidden="1" outlineLevel="2" x14ac:dyDescent="0.25">
      <c r="A80" s="27"/>
      <c r="B80" s="11" t="str">
        <f>CONCATENATE("          ", "6259", " - ", "ROYALTY &amp; COMMISSIONS")</f>
        <v xml:space="preserve">          6259 - ROYALTY &amp; COMMISSIONS</v>
      </c>
      <c r="C80" s="11"/>
      <c r="D80" s="7"/>
      <c r="E80" s="2"/>
      <c r="F80" s="6">
        <f t="shared" si="46"/>
        <v>0</v>
      </c>
      <c r="G80" s="2"/>
      <c r="H80" s="7">
        <v>0</v>
      </c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/>
      <c r="Q80" s="2"/>
      <c r="R80" s="6">
        <f t="shared" si="50"/>
        <v>0</v>
      </c>
      <c r="S80" s="2"/>
      <c r="T80" s="7">
        <v>0</v>
      </c>
      <c r="U80" s="2"/>
      <c r="V80" s="6">
        <f t="shared" si="51"/>
        <v>0</v>
      </c>
      <c r="W80" s="2"/>
      <c r="X80" s="7">
        <f t="shared" si="52"/>
        <v>0</v>
      </c>
      <c r="Y80" s="2"/>
      <c r="Z80" s="6">
        <f t="shared" si="53"/>
        <v>0</v>
      </c>
    </row>
    <row r="81" spans="1:26" s="28" customFormat="1" outlineLevel="1" collapsed="1" x14ac:dyDescent="0.25">
      <c r="A81" s="29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6107.21</v>
      </c>
      <c r="E81" s="1"/>
      <c r="F81" s="5">
        <f t="shared" ref="F81:F86" si="54">IF(D$12=0,0,D81/D$12)</f>
        <v>0.12219075467753215</v>
      </c>
      <c r="G81" s="1"/>
      <c r="H81" s="1">
        <f>SUM(OSRRefH22_15x_0)</f>
        <v>7205</v>
      </c>
      <c r="I81" s="1"/>
      <c r="J81" s="5">
        <f t="shared" ref="J81:J86" si="55">IF(H$12=0,0,H81/H$12)</f>
        <v>0.14229007030571136</v>
      </c>
      <c r="K81" s="1"/>
      <c r="L81" s="1">
        <f t="shared" ref="L81:L86" si="56">+D81-H81</f>
        <v>-1097.79</v>
      </c>
      <c r="M81" s="1"/>
      <c r="N81" s="5">
        <f t="shared" ref="N81:N86" si="57">IF(H81=0,0,L81/H81)</f>
        <v>-0.15236502428868839</v>
      </c>
      <c r="O81" s="14"/>
      <c r="P81" s="1">
        <f>SUM(OSRRefP22_15x_0)</f>
        <v>50105.89</v>
      </c>
      <c r="Q81" s="1"/>
      <c r="R81" s="5">
        <f t="shared" ref="R81:R86" si="58">IF(P$12=0,0,P81/P$12)</f>
        <v>0.15357260606382339</v>
      </c>
      <c r="S81" s="1"/>
      <c r="T81" s="1">
        <f>SUM(OSRRefT22_15x_0)</f>
        <v>58307</v>
      </c>
      <c r="U81" s="1"/>
      <c r="V81" s="5">
        <f t="shared" ref="V81:V86" si="59">IF(T$12=0,0,T81/T$12)</f>
        <v>0.35694520967248239</v>
      </c>
      <c r="W81" s="1"/>
      <c r="X81" s="1">
        <f t="shared" ref="X81:X86" si="60">+P81-T81</f>
        <v>-8201.11</v>
      </c>
      <c r="Y81" s="1"/>
      <c r="Z81" s="5">
        <f t="shared" ref="Z81:Z86" si="61">IF(T81=0,0,X81/T81)</f>
        <v>-0.14065395235563483</v>
      </c>
    </row>
    <row r="82" spans="1:26" s="24" customFormat="1" hidden="1" outlineLevel="2" x14ac:dyDescent="0.25">
      <c r="A82" s="27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626.26</v>
      </c>
      <c r="E82" s="2"/>
      <c r="F82" s="6">
        <f t="shared" si="54"/>
        <v>1.2529973920063544E-2</v>
      </c>
      <c r="G82" s="2"/>
      <c r="H82" s="7">
        <v>626</v>
      </c>
      <c r="I82" s="2"/>
      <c r="J82" s="6">
        <f t="shared" si="55"/>
        <v>1.2362745872501777E-2</v>
      </c>
      <c r="K82" s="2"/>
      <c r="L82" s="7">
        <f t="shared" si="56"/>
        <v>0.25999999999999091</v>
      </c>
      <c r="M82" s="2"/>
      <c r="N82" s="6">
        <f t="shared" si="57"/>
        <v>4.1533546325877143E-4</v>
      </c>
      <c r="O82" s="11"/>
      <c r="P82" s="7">
        <v>6824.37</v>
      </c>
      <c r="Q82" s="2"/>
      <c r="R82" s="6">
        <f t="shared" si="58"/>
        <v>2.0916428899751593E-2</v>
      </c>
      <c r="S82" s="2"/>
      <c r="T82" s="7">
        <v>8266</v>
      </c>
      <c r="U82" s="2"/>
      <c r="V82" s="6">
        <f t="shared" si="59"/>
        <v>5.0602999693908787E-2</v>
      </c>
      <c r="W82" s="2"/>
      <c r="X82" s="7">
        <f t="shared" si="60"/>
        <v>-1441.63</v>
      </c>
      <c r="Y82" s="2"/>
      <c r="Z82" s="6">
        <f t="shared" si="61"/>
        <v>-0.17440479070892814</v>
      </c>
    </row>
    <row r="83" spans="1:26" s="24" customFormat="1" hidden="1" outlineLevel="2" x14ac:dyDescent="0.25">
      <c r="A83" s="27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54"/>
        <v>0</v>
      </c>
      <c r="G83" s="2"/>
      <c r="H83" s="7">
        <v>62</v>
      </c>
      <c r="I83" s="2"/>
      <c r="J83" s="6">
        <f t="shared" si="55"/>
        <v>1.2244253100560866E-3</v>
      </c>
      <c r="K83" s="2"/>
      <c r="L83" s="7">
        <f t="shared" si="56"/>
        <v>-62</v>
      </c>
      <c r="M83" s="2"/>
      <c r="N83" s="6">
        <f t="shared" si="57"/>
        <v>-1</v>
      </c>
      <c r="O83" s="11"/>
      <c r="P83" s="7"/>
      <c r="Q83" s="2"/>
      <c r="R83" s="6">
        <f t="shared" si="58"/>
        <v>0</v>
      </c>
      <c r="S83" s="2"/>
      <c r="T83" s="7">
        <v>310</v>
      </c>
      <c r="U83" s="2"/>
      <c r="V83" s="6">
        <f t="shared" si="59"/>
        <v>1.8977655341291704E-3</v>
      </c>
      <c r="W83" s="2"/>
      <c r="X83" s="7">
        <f t="shared" si="60"/>
        <v>-310</v>
      </c>
      <c r="Y83" s="2"/>
      <c r="Z83" s="6">
        <f t="shared" si="61"/>
        <v>-1</v>
      </c>
    </row>
    <row r="84" spans="1:26" s="24" customFormat="1" hidden="1" outlineLevel="2" x14ac:dyDescent="0.25">
      <c r="A84" s="27"/>
      <c r="B84" s="11" t="str">
        <f>CONCATENATE("          ", "6284", " - ", "TRASH REMOVAL EXPENSE")</f>
        <v xml:space="preserve">          6284 - TRASH REMOVAL EXPENSE</v>
      </c>
      <c r="C84" s="11"/>
      <c r="D84" s="7">
        <v>5369</v>
      </c>
      <c r="E84" s="2"/>
      <c r="F84" s="6">
        <f t="shared" si="54"/>
        <v>0.10742092737332924</v>
      </c>
      <c r="G84" s="2"/>
      <c r="H84" s="7">
        <v>3261</v>
      </c>
      <c r="I84" s="2"/>
      <c r="J84" s="6">
        <f t="shared" si="55"/>
        <v>6.4400821549885454E-2</v>
      </c>
      <c r="K84" s="2"/>
      <c r="L84" s="7">
        <f t="shared" si="56"/>
        <v>2108</v>
      </c>
      <c r="M84" s="2"/>
      <c r="N84" s="6">
        <f t="shared" si="57"/>
        <v>0.64642747623428398</v>
      </c>
      <c r="O84" s="11"/>
      <c r="P84" s="7">
        <v>29606</v>
      </c>
      <c r="Q84" s="2"/>
      <c r="R84" s="6">
        <f t="shared" si="58"/>
        <v>9.0741239705063717E-2</v>
      </c>
      <c r="S84" s="2"/>
      <c r="T84" s="7">
        <v>23880</v>
      </c>
      <c r="U84" s="2"/>
      <c r="V84" s="6">
        <f t="shared" si="59"/>
        <v>0.14618916437098256</v>
      </c>
      <c r="W84" s="2"/>
      <c r="X84" s="7">
        <f t="shared" si="60"/>
        <v>5726</v>
      </c>
      <c r="Y84" s="2"/>
      <c r="Z84" s="6">
        <f t="shared" si="61"/>
        <v>0.23978224455611391</v>
      </c>
    </row>
    <row r="85" spans="1:26" s="24" customFormat="1" hidden="1" outlineLevel="2" x14ac:dyDescent="0.25">
      <c r="A85" s="27"/>
      <c r="B85" s="11" t="str">
        <f>CONCATENATE("          ", "6285", " - ", "JANITORIAL SERVICES")</f>
        <v xml:space="preserve">          6285 - JANITORIAL SERVICES</v>
      </c>
      <c r="C85" s="11"/>
      <c r="D85" s="7"/>
      <c r="E85" s="2"/>
      <c r="F85" s="6">
        <f t="shared" si="54"/>
        <v>0</v>
      </c>
      <c r="G85" s="2"/>
      <c r="H85" s="7">
        <v>3256</v>
      </c>
      <c r="I85" s="2"/>
      <c r="J85" s="6">
        <f t="shared" si="55"/>
        <v>6.4302077573268029E-2</v>
      </c>
      <c r="K85" s="2"/>
      <c r="L85" s="7">
        <f t="shared" si="56"/>
        <v>-3256</v>
      </c>
      <c r="M85" s="2"/>
      <c r="N85" s="6">
        <f t="shared" si="57"/>
        <v>-1</v>
      </c>
      <c r="O85" s="11"/>
      <c r="P85" s="7">
        <v>12770.81</v>
      </c>
      <c r="Q85" s="2"/>
      <c r="R85" s="6">
        <f t="shared" si="58"/>
        <v>3.9142036460103516E-2</v>
      </c>
      <c r="S85" s="2"/>
      <c r="T85" s="7">
        <v>25851</v>
      </c>
      <c r="U85" s="2"/>
      <c r="V85" s="6">
        <f t="shared" si="59"/>
        <v>0.1582552800734619</v>
      </c>
      <c r="W85" s="2"/>
      <c r="X85" s="7">
        <f t="shared" si="60"/>
        <v>-13080.19</v>
      </c>
      <c r="Y85" s="2"/>
      <c r="Z85" s="6">
        <f t="shared" si="61"/>
        <v>-0.50598390777919622</v>
      </c>
    </row>
    <row r="86" spans="1:26" s="24" customFormat="1" hidden="1" outlineLevel="2" x14ac:dyDescent="0.25">
      <c r="A86" s="27"/>
      <c r="B86" s="11" t="str">
        <f>CONCATENATE("          ", "6286", " - ", "LAUNDRY EXPENSE")</f>
        <v xml:space="preserve">          6286 - LAUNDRY EXPENSE</v>
      </c>
      <c r="C86" s="11"/>
      <c r="D86" s="7">
        <v>111.95</v>
      </c>
      <c r="E86" s="2"/>
      <c r="F86" s="6">
        <f t="shared" si="54"/>
        <v>2.2398533841393575E-3</v>
      </c>
      <c r="G86" s="2"/>
      <c r="H86" s="7">
        <v>0</v>
      </c>
      <c r="I86" s="2"/>
      <c r="J86" s="6">
        <f t="shared" si="55"/>
        <v>0</v>
      </c>
      <c r="K86" s="2"/>
      <c r="L86" s="7">
        <f t="shared" si="56"/>
        <v>111.95</v>
      </c>
      <c r="M86" s="2"/>
      <c r="N86" s="6">
        <f t="shared" si="57"/>
        <v>0</v>
      </c>
      <c r="O86" s="11"/>
      <c r="P86" s="7">
        <v>904.71</v>
      </c>
      <c r="Q86" s="2"/>
      <c r="R86" s="6">
        <f t="shared" si="58"/>
        <v>2.7729009989045533E-3</v>
      </c>
      <c r="S86" s="2"/>
      <c r="T86" s="7">
        <v>0</v>
      </c>
      <c r="U86" s="2"/>
      <c r="V86" s="6">
        <f t="shared" si="59"/>
        <v>0</v>
      </c>
      <c r="W86" s="2"/>
      <c r="X86" s="7">
        <f t="shared" si="60"/>
        <v>904.71</v>
      </c>
      <c r="Y86" s="2"/>
      <c r="Z86" s="6">
        <f t="shared" si="61"/>
        <v>0</v>
      </c>
    </row>
    <row r="87" spans="1:26" s="28" customFormat="1" outlineLevel="1" collapsed="1" x14ac:dyDescent="0.25">
      <c r="A87" s="29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262.83999999999997</v>
      </c>
      <c r="E87" s="1"/>
      <c r="F87" s="5">
        <f t="shared" ref="F87:F89" si="62">IF(D$12=0,0,D87/D$12)</f>
        <v>5.25880360417319E-3</v>
      </c>
      <c r="G87" s="1"/>
      <c r="H87" s="1">
        <f>SUM(OSRRefH22_16x_0)</f>
        <v>202</v>
      </c>
      <c r="I87" s="1"/>
      <c r="J87" s="5">
        <f t="shared" ref="J87:J89" si="63">IF(H$12=0,0,H87/H$12)</f>
        <v>3.9892566553440239E-3</v>
      </c>
      <c r="K87" s="1"/>
      <c r="L87" s="1">
        <f t="shared" ref="L87:L89" si="64">+D87-H87</f>
        <v>60.839999999999975</v>
      </c>
      <c r="M87" s="1"/>
      <c r="N87" s="5">
        <f t="shared" ref="N87:N89" si="65">IF(H87=0,0,L87/H87)</f>
        <v>0.30118811881188107</v>
      </c>
      <c r="O87" s="14"/>
      <c r="P87" s="1">
        <f>SUM(OSRRefP22_16x_0)</f>
        <v>797.01</v>
      </c>
      <c r="Q87" s="1"/>
      <c r="R87" s="5">
        <f t="shared" ref="R87:R89" si="66">IF(P$12=0,0,P87/P$12)</f>
        <v>2.4428046834200105E-3</v>
      </c>
      <c r="S87" s="1"/>
      <c r="T87" s="1">
        <f>SUM(OSRRefT22_16x_0)</f>
        <v>2481</v>
      </c>
      <c r="U87" s="1"/>
      <c r="V87" s="5">
        <f t="shared" ref="V87:V89" si="67">IF(T$12=0,0,T87/T$12)</f>
        <v>1.5188246097337007E-2</v>
      </c>
      <c r="W87" s="1"/>
      <c r="X87" s="1">
        <f t="shared" ref="X87:X89" si="68">+P87-T87</f>
        <v>-1683.99</v>
      </c>
      <c r="Y87" s="1"/>
      <c r="Z87" s="5">
        <f t="shared" ref="Z87:Z89" si="69">IF(T87=0,0,X87/T87)</f>
        <v>-0.67875453446191047</v>
      </c>
    </row>
    <row r="88" spans="1:26" s="24" customFormat="1" hidden="1" outlineLevel="2" x14ac:dyDescent="0.25">
      <c r="A88" s="27"/>
      <c r="B88" s="11" t="str">
        <f>CONCATENATE("          ", "6258", " - ", "MEMBERSHIP DUES")</f>
        <v xml:space="preserve">          6258 - MEMBERSHIP DUES</v>
      </c>
      <c r="C88" s="11"/>
      <c r="D88" s="7"/>
      <c r="E88" s="2"/>
      <c r="F88" s="6">
        <f t="shared" si="62"/>
        <v>0</v>
      </c>
      <c r="G88" s="2"/>
      <c r="H88" s="7"/>
      <c r="I88" s="2"/>
      <c r="J88" s="6">
        <f t="shared" si="63"/>
        <v>0</v>
      </c>
      <c r="K88" s="2"/>
      <c r="L88" s="7">
        <f t="shared" si="64"/>
        <v>0</v>
      </c>
      <c r="M88" s="2"/>
      <c r="N88" s="6">
        <f t="shared" si="65"/>
        <v>0</v>
      </c>
      <c r="O88" s="11"/>
      <c r="P88" s="7"/>
      <c r="Q88" s="2"/>
      <c r="R88" s="6">
        <f t="shared" si="66"/>
        <v>0</v>
      </c>
      <c r="S88" s="2"/>
      <c r="T88" s="7">
        <v>900</v>
      </c>
      <c r="U88" s="2"/>
      <c r="V88" s="6">
        <f t="shared" si="67"/>
        <v>5.5096418732782371E-3</v>
      </c>
      <c r="W88" s="2"/>
      <c r="X88" s="7">
        <f t="shared" si="68"/>
        <v>-900</v>
      </c>
      <c r="Y88" s="2"/>
      <c r="Z88" s="6">
        <f t="shared" si="69"/>
        <v>-1</v>
      </c>
    </row>
    <row r="89" spans="1:26" s="24" customFormat="1" hidden="1" outlineLevel="2" x14ac:dyDescent="0.25">
      <c r="A89" s="27"/>
      <c r="B89" s="11" t="str">
        <f>CONCATENATE("          ", "6275", " - ", "SUBSCRIPTIONS")</f>
        <v xml:space="preserve">          6275 - SUBSCRIPTIONS</v>
      </c>
      <c r="C89" s="11"/>
      <c r="D89" s="7">
        <v>262.83999999999997</v>
      </c>
      <c r="E89" s="2"/>
      <c r="F89" s="6">
        <f t="shared" si="62"/>
        <v>5.25880360417319E-3</v>
      </c>
      <c r="G89" s="2"/>
      <c r="H89" s="7">
        <v>202</v>
      </c>
      <c r="I89" s="2"/>
      <c r="J89" s="6">
        <f t="shared" si="63"/>
        <v>3.9892566553440239E-3</v>
      </c>
      <c r="K89" s="2"/>
      <c r="L89" s="7">
        <f t="shared" si="64"/>
        <v>60.839999999999975</v>
      </c>
      <c r="M89" s="2"/>
      <c r="N89" s="6">
        <f t="shared" si="65"/>
        <v>0.30118811881188107</v>
      </c>
      <c r="O89" s="11"/>
      <c r="P89" s="7">
        <v>797.01</v>
      </c>
      <c r="Q89" s="2"/>
      <c r="R89" s="6">
        <f t="shared" si="66"/>
        <v>2.4428046834200105E-3</v>
      </c>
      <c r="S89" s="2"/>
      <c r="T89" s="7">
        <v>1581</v>
      </c>
      <c r="U89" s="2"/>
      <c r="V89" s="6">
        <f t="shared" si="67"/>
        <v>9.6786042240587702E-3</v>
      </c>
      <c r="W89" s="2"/>
      <c r="X89" s="7">
        <f t="shared" si="68"/>
        <v>-783.99</v>
      </c>
      <c r="Y89" s="2"/>
      <c r="Z89" s="6">
        <f t="shared" si="69"/>
        <v>-0.4958823529411765</v>
      </c>
    </row>
    <row r="90" spans="1:26" s="28" customFormat="1" outlineLevel="1" collapsed="1" x14ac:dyDescent="0.25">
      <c r="A90" s="29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SUM(OSRRefD22_17x_0)</f>
        <v>82.73</v>
      </c>
      <c r="E90" s="1"/>
      <c r="F90" s="5">
        <f t="shared" ref="F90:F101" si="70">IF(D$12=0,0,D90/D$12)</f>
        <v>1.6552306428749355E-3</v>
      </c>
      <c r="G90" s="1"/>
      <c r="H90" s="1">
        <f>SUM(OSRRefH22_17x_0)</f>
        <v>2085</v>
      </c>
      <c r="I90" s="1"/>
      <c r="J90" s="5">
        <f t="shared" ref="J90:J101" si="71">IF(H$12=0,0,H90/H$12)</f>
        <v>4.1176238249466784E-2</v>
      </c>
      <c r="K90" s="1"/>
      <c r="L90" s="1">
        <f t="shared" ref="L90:L101" si="72">+D90-H90</f>
        <v>-2002.27</v>
      </c>
      <c r="M90" s="1"/>
      <c r="N90" s="5">
        <f t="shared" ref="N90:N101" si="73">IF(H90=0,0,L90/H90)</f>
        <v>-0.96032134292565952</v>
      </c>
      <c r="O90" s="14"/>
      <c r="P90" s="1">
        <f>SUM(OSRRefP22_17x_0)</f>
        <v>-21346.86</v>
      </c>
      <c r="Q90" s="1"/>
      <c r="R90" s="5">
        <f t="shared" ref="R90:R101" si="74">IF(P$12=0,0,P90/P$12)</f>
        <v>-6.5427296501061827E-2</v>
      </c>
      <c r="S90" s="1"/>
      <c r="T90" s="1">
        <f>SUM(OSRRefT22_17x_0)</f>
        <v>19775</v>
      </c>
      <c r="U90" s="1"/>
      <c r="V90" s="5">
        <f t="shared" ref="V90:V101" si="75">IF(T$12=0,0,T90/T$12)</f>
        <v>0.12105907560453015</v>
      </c>
      <c r="W90" s="1"/>
      <c r="X90" s="1">
        <f t="shared" ref="X90:X101" si="76">+P90-T90</f>
        <v>-41121.86</v>
      </c>
      <c r="Y90" s="1"/>
      <c r="Z90" s="5">
        <f t="shared" ref="Z90:Z101" si="77">IF(T90=0,0,X90/T90)</f>
        <v>-2.0794872313527182</v>
      </c>
    </row>
    <row r="91" spans="1:26" s="24" customFormat="1" hidden="1" outlineLevel="2" x14ac:dyDescent="0.25">
      <c r="A91" s="27"/>
      <c r="B91" s="11" t="str">
        <f>CONCATENATE("          ", "6234", " - ", "EXPENDABLE SUPPLIES &amp; EQUIPMEN")</f>
        <v xml:space="preserve">          6234 - EXPENDABLE SUPPLIES &amp; EQUIPMEN</v>
      </c>
      <c r="C91" s="11"/>
      <c r="D91" s="7"/>
      <c r="E91" s="2"/>
      <c r="F91" s="6">
        <f t="shared" si="70"/>
        <v>0</v>
      </c>
      <c r="G91" s="2"/>
      <c r="H91" s="7"/>
      <c r="I91" s="2"/>
      <c r="J91" s="6">
        <f t="shared" si="71"/>
        <v>0</v>
      </c>
      <c r="K91" s="2"/>
      <c r="L91" s="7">
        <f t="shared" si="72"/>
        <v>0</v>
      </c>
      <c r="M91" s="2"/>
      <c r="N91" s="6">
        <f t="shared" si="73"/>
        <v>0</v>
      </c>
      <c r="O91" s="11"/>
      <c r="P91" s="7">
        <v>310.91000000000003</v>
      </c>
      <c r="Q91" s="2"/>
      <c r="R91" s="6">
        <f t="shared" si="74"/>
        <v>9.5292707007705744E-4</v>
      </c>
      <c r="S91" s="2"/>
      <c r="T91" s="7">
        <v>1076</v>
      </c>
      <c r="U91" s="2"/>
      <c r="V91" s="6">
        <f t="shared" si="75"/>
        <v>6.5870829507193142E-3</v>
      </c>
      <c r="W91" s="2"/>
      <c r="X91" s="7">
        <f t="shared" si="76"/>
        <v>-765.08999999999992</v>
      </c>
      <c r="Y91" s="2"/>
      <c r="Z91" s="6">
        <f t="shared" si="77"/>
        <v>-0.71105018587360591</v>
      </c>
    </row>
    <row r="92" spans="1:26" s="24" customFormat="1" hidden="1" outlineLevel="2" x14ac:dyDescent="0.25">
      <c r="A92" s="27"/>
      <c r="B92" s="11" t="str">
        <f>CONCATENATE("          ", "6235", " - ", "COVID-19 EXPENSES")</f>
        <v xml:space="preserve">          6235 - COVID-19 EXPENSES</v>
      </c>
      <c r="C92" s="11"/>
      <c r="D92" s="7"/>
      <c r="E92" s="2"/>
      <c r="F92" s="6">
        <f t="shared" si="70"/>
        <v>0</v>
      </c>
      <c r="G92" s="2"/>
      <c r="H92" s="7">
        <v>0</v>
      </c>
      <c r="I92" s="2"/>
      <c r="J92" s="6">
        <f t="shared" si="71"/>
        <v>0</v>
      </c>
      <c r="K92" s="2"/>
      <c r="L92" s="7">
        <f t="shared" si="72"/>
        <v>0</v>
      </c>
      <c r="M92" s="2"/>
      <c r="N92" s="6">
        <f t="shared" si="73"/>
        <v>0</v>
      </c>
      <c r="O92" s="11"/>
      <c r="P92" s="7">
        <v>6881.86</v>
      </c>
      <c r="Q92" s="2"/>
      <c r="R92" s="6">
        <f t="shared" si="74"/>
        <v>2.1092633516067345E-2</v>
      </c>
      <c r="S92" s="2"/>
      <c r="T92" s="7">
        <v>0</v>
      </c>
      <c r="U92" s="2"/>
      <c r="V92" s="6">
        <f t="shared" si="75"/>
        <v>0</v>
      </c>
      <c r="W92" s="2"/>
      <c r="X92" s="7">
        <f t="shared" si="76"/>
        <v>6881.86</v>
      </c>
      <c r="Y92" s="2"/>
      <c r="Z92" s="6">
        <f t="shared" si="77"/>
        <v>0</v>
      </c>
    </row>
    <row r="93" spans="1:26" s="24" customFormat="1" hidden="1" outlineLevel="2" x14ac:dyDescent="0.25">
      <c r="A93" s="27"/>
      <c r="B93" s="11" t="str">
        <f>CONCATENATE("          ", "6237", " - ", "JANITORIAL SUPPLIES")</f>
        <v xml:space="preserve">          6237 - JANITORIAL SUPPLIES</v>
      </c>
      <c r="C93" s="11"/>
      <c r="D93" s="7"/>
      <c r="E93" s="2"/>
      <c r="F93" s="6">
        <f t="shared" si="70"/>
        <v>0</v>
      </c>
      <c r="G93" s="2"/>
      <c r="H93" s="7">
        <v>1320</v>
      </c>
      <c r="I93" s="2"/>
      <c r="J93" s="6">
        <f t="shared" si="71"/>
        <v>2.6068409827000552E-2</v>
      </c>
      <c r="K93" s="2"/>
      <c r="L93" s="7">
        <f t="shared" si="72"/>
        <v>-1320</v>
      </c>
      <c r="M93" s="2"/>
      <c r="N93" s="6">
        <f t="shared" si="73"/>
        <v>-1</v>
      </c>
      <c r="O93" s="11"/>
      <c r="P93" s="7">
        <v>358.91</v>
      </c>
      <c r="Q93" s="2"/>
      <c r="R93" s="6">
        <f t="shared" si="74"/>
        <v>1.1000452051119509E-3</v>
      </c>
      <c r="S93" s="2"/>
      <c r="T93" s="7">
        <v>7849</v>
      </c>
      <c r="U93" s="2"/>
      <c r="V93" s="6">
        <f t="shared" si="75"/>
        <v>4.8050198959289865E-2</v>
      </c>
      <c r="W93" s="2"/>
      <c r="X93" s="7">
        <f t="shared" si="76"/>
        <v>-7490.09</v>
      </c>
      <c r="Y93" s="2"/>
      <c r="Z93" s="6">
        <f t="shared" si="77"/>
        <v>-0.95427315581602756</v>
      </c>
    </row>
    <row r="94" spans="1:26" s="24" customFormat="1" hidden="1" outlineLevel="2" x14ac:dyDescent="0.25">
      <c r="A94" s="27"/>
      <c r="B94" s="11" t="str">
        <f>CONCATENATE("          ", "6239", " - ", "KITCHEN SUPPLIES")</f>
        <v xml:space="preserve">          6239 - KITCHEN SUPPLIES</v>
      </c>
      <c r="C94" s="11"/>
      <c r="D94" s="7"/>
      <c r="E94" s="2"/>
      <c r="F94" s="6">
        <f t="shared" si="70"/>
        <v>0</v>
      </c>
      <c r="G94" s="2"/>
      <c r="H94" s="7">
        <v>111</v>
      </c>
      <c r="I94" s="2"/>
      <c r="J94" s="6">
        <f t="shared" si="71"/>
        <v>2.1921162809068646E-3</v>
      </c>
      <c r="K94" s="2"/>
      <c r="L94" s="7">
        <f t="shared" si="72"/>
        <v>-111</v>
      </c>
      <c r="M94" s="2"/>
      <c r="N94" s="6">
        <f t="shared" si="73"/>
        <v>-1</v>
      </c>
      <c r="O94" s="11"/>
      <c r="P94" s="7">
        <v>19.829999999999998</v>
      </c>
      <c r="Q94" s="2"/>
      <c r="R94" s="6">
        <f t="shared" si="74"/>
        <v>6.0778179536290389E-5</v>
      </c>
      <c r="S94" s="2"/>
      <c r="T94" s="7">
        <v>343</v>
      </c>
      <c r="U94" s="2"/>
      <c r="V94" s="6">
        <f t="shared" si="75"/>
        <v>2.0997857361493726E-3</v>
      </c>
      <c r="W94" s="2"/>
      <c r="X94" s="7">
        <f t="shared" si="76"/>
        <v>-323.17</v>
      </c>
      <c r="Y94" s="2"/>
      <c r="Z94" s="6">
        <f t="shared" si="77"/>
        <v>-0.94218658892128282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7">
        <v>82.73</v>
      </c>
      <c r="E95" s="2"/>
      <c r="F95" s="6">
        <f t="shared" si="70"/>
        <v>1.6552306428749355E-3</v>
      </c>
      <c r="G95" s="2"/>
      <c r="H95" s="7">
        <v>25</v>
      </c>
      <c r="I95" s="2"/>
      <c r="J95" s="6">
        <f t="shared" si="71"/>
        <v>4.9371988308713173E-4</v>
      </c>
      <c r="K95" s="2"/>
      <c r="L95" s="7">
        <f t="shared" si="72"/>
        <v>57.730000000000004</v>
      </c>
      <c r="M95" s="2"/>
      <c r="N95" s="6">
        <f t="shared" si="73"/>
        <v>2.3092000000000001</v>
      </c>
      <c r="O95" s="11"/>
      <c r="P95" s="7">
        <v>-28983.86</v>
      </c>
      <c r="Q95" s="2"/>
      <c r="R95" s="6">
        <f t="shared" si="74"/>
        <v>-8.883440477734271E-2</v>
      </c>
      <c r="S95" s="2"/>
      <c r="T95" s="7">
        <v>5462</v>
      </c>
      <c r="U95" s="2"/>
      <c r="V95" s="6">
        <f t="shared" si="75"/>
        <v>3.3437404346495253E-2</v>
      </c>
      <c r="W95" s="2"/>
      <c r="X95" s="7">
        <f t="shared" si="76"/>
        <v>-34445.86</v>
      </c>
      <c r="Y95" s="2"/>
      <c r="Z95" s="6">
        <f t="shared" si="77"/>
        <v>-6.3064555108019045</v>
      </c>
    </row>
    <row r="96" spans="1:26" s="24" customFormat="1" hidden="1" outlineLevel="2" x14ac:dyDescent="0.25">
      <c r="A96" s="27"/>
      <c r="B96" s="11" t="str">
        <f>CONCATENATE("          ", "6243", " - ", "PAPER SUPPLIES")</f>
        <v xml:space="preserve">          6243 - PAPER SUPPLIES</v>
      </c>
      <c r="C96" s="11"/>
      <c r="D96" s="7"/>
      <c r="E96" s="2"/>
      <c r="F96" s="6">
        <f t="shared" si="70"/>
        <v>0</v>
      </c>
      <c r="G96" s="2"/>
      <c r="H96" s="7">
        <v>629</v>
      </c>
      <c r="I96" s="2"/>
      <c r="J96" s="6">
        <f t="shared" si="71"/>
        <v>1.2421992258472233E-2</v>
      </c>
      <c r="K96" s="2"/>
      <c r="L96" s="7">
        <f t="shared" si="72"/>
        <v>-629</v>
      </c>
      <c r="M96" s="2"/>
      <c r="N96" s="6">
        <f t="shared" si="73"/>
        <v>-1</v>
      </c>
      <c r="O96" s="11"/>
      <c r="P96" s="7">
        <v>65.489999999999995</v>
      </c>
      <c r="Q96" s="2"/>
      <c r="R96" s="6">
        <f t="shared" si="74"/>
        <v>2.0072430548823288E-4</v>
      </c>
      <c r="S96" s="2"/>
      <c r="T96" s="7">
        <v>4619</v>
      </c>
      <c r="U96" s="2"/>
      <c r="V96" s="6">
        <f t="shared" si="75"/>
        <v>2.8276706458524641E-2</v>
      </c>
      <c r="W96" s="2"/>
      <c r="X96" s="7">
        <f t="shared" si="76"/>
        <v>-4553.51</v>
      </c>
      <c r="Y96" s="2"/>
      <c r="Z96" s="6">
        <f t="shared" si="77"/>
        <v>-0.98582160640831351</v>
      </c>
    </row>
    <row r="97" spans="1:26" s="24" customFormat="1" hidden="1" outlineLevel="2" x14ac:dyDescent="0.25">
      <c r="A97" s="27"/>
      <c r="B97" s="11" t="str">
        <f>CONCATENATE("          ", "6244", " - ", "SAFETY SUPPLY EXPENSE")</f>
        <v xml:space="preserve">          6244 - SAFETY SUPPLY EXPENSE</v>
      </c>
      <c r="C97" s="11"/>
      <c r="D97" s="7"/>
      <c r="E97" s="2"/>
      <c r="F97" s="6">
        <f t="shared" si="70"/>
        <v>0</v>
      </c>
      <c r="G97" s="2"/>
      <c r="H97" s="7">
        <v>0</v>
      </c>
      <c r="I97" s="2"/>
      <c r="J97" s="6">
        <f t="shared" si="71"/>
        <v>0</v>
      </c>
      <c r="K97" s="2"/>
      <c r="L97" s="7">
        <f t="shared" si="72"/>
        <v>0</v>
      </c>
      <c r="M97" s="2"/>
      <c r="N97" s="6">
        <f t="shared" si="73"/>
        <v>0</v>
      </c>
      <c r="O97" s="11"/>
      <c r="P97" s="7"/>
      <c r="Q97" s="2"/>
      <c r="R97" s="6">
        <f t="shared" si="74"/>
        <v>0</v>
      </c>
      <c r="S97" s="2"/>
      <c r="T97" s="7">
        <v>0</v>
      </c>
      <c r="U97" s="2"/>
      <c r="V97" s="6">
        <f t="shared" si="75"/>
        <v>0</v>
      </c>
      <c r="W97" s="2"/>
      <c r="X97" s="7">
        <f t="shared" si="76"/>
        <v>0</v>
      </c>
      <c r="Y97" s="2"/>
      <c r="Z97" s="6">
        <f t="shared" si="77"/>
        <v>0</v>
      </c>
    </row>
    <row r="98" spans="1:26" s="24" customFormat="1" hidden="1" outlineLevel="2" x14ac:dyDescent="0.25">
      <c r="A98" s="27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70"/>
        <v>0</v>
      </c>
      <c r="G98" s="2"/>
      <c r="H98" s="7">
        <v>0</v>
      </c>
      <c r="I98" s="2"/>
      <c r="J98" s="6">
        <f t="shared" si="71"/>
        <v>0</v>
      </c>
      <c r="K98" s="2"/>
      <c r="L98" s="7">
        <f t="shared" si="72"/>
        <v>0</v>
      </c>
      <c r="M98" s="2"/>
      <c r="N98" s="6">
        <f t="shared" si="73"/>
        <v>0</v>
      </c>
      <c r="O98" s="11"/>
      <c r="P98" s="7"/>
      <c r="Q98" s="2"/>
      <c r="R98" s="6">
        <f t="shared" si="74"/>
        <v>0</v>
      </c>
      <c r="S98" s="2"/>
      <c r="T98" s="7">
        <v>0</v>
      </c>
      <c r="U98" s="2"/>
      <c r="V98" s="6">
        <f t="shared" si="75"/>
        <v>0</v>
      </c>
      <c r="W98" s="2"/>
      <c r="X98" s="7">
        <f t="shared" si="76"/>
        <v>0</v>
      </c>
      <c r="Y98" s="2"/>
      <c r="Z98" s="6">
        <f t="shared" si="77"/>
        <v>0</v>
      </c>
    </row>
    <row r="99" spans="1:26" s="24" customFormat="1" hidden="1" outlineLevel="2" x14ac:dyDescent="0.25">
      <c r="A99" s="27"/>
      <c r="B99" s="11" t="str">
        <f>CONCATENATE("          ", "6246", " - ", "REPLACEMENTS")</f>
        <v xml:space="preserve">          6246 - REPLACEMENTS</v>
      </c>
      <c r="C99" s="11"/>
      <c r="D99" s="7"/>
      <c r="E99" s="2"/>
      <c r="F99" s="6">
        <f t="shared" si="70"/>
        <v>0</v>
      </c>
      <c r="G99" s="2"/>
      <c r="H99" s="7">
        <v>0</v>
      </c>
      <c r="I99" s="2"/>
      <c r="J99" s="6">
        <f t="shared" si="71"/>
        <v>0</v>
      </c>
      <c r="K99" s="2"/>
      <c r="L99" s="7">
        <f t="shared" si="72"/>
        <v>0</v>
      </c>
      <c r="M99" s="2"/>
      <c r="N99" s="6">
        <f t="shared" si="73"/>
        <v>0</v>
      </c>
      <c r="O99" s="11"/>
      <c r="P99" s="7"/>
      <c r="Q99" s="2"/>
      <c r="R99" s="6">
        <f t="shared" si="74"/>
        <v>0</v>
      </c>
      <c r="S99" s="2"/>
      <c r="T99" s="7">
        <v>0</v>
      </c>
      <c r="U99" s="2"/>
      <c r="V99" s="6">
        <f t="shared" si="75"/>
        <v>0</v>
      </c>
      <c r="W99" s="2"/>
      <c r="X99" s="7">
        <f t="shared" si="76"/>
        <v>0</v>
      </c>
      <c r="Y99" s="2"/>
      <c r="Z99" s="6">
        <f t="shared" si="77"/>
        <v>0</v>
      </c>
    </row>
    <row r="100" spans="1:26" s="24" customFormat="1" hidden="1" outlineLevel="2" x14ac:dyDescent="0.25">
      <c r="A100" s="27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70"/>
        <v>0</v>
      </c>
      <c r="G100" s="2"/>
      <c r="H100" s="7">
        <v>0</v>
      </c>
      <c r="I100" s="2"/>
      <c r="J100" s="6">
        <f t="shared" si="71"/>
        <v>0</v>
      </c>
      <c r="K100" s="2"/>
      <c r="L100" s="7">
        <f t="shared" si="72"/>
        <v>0</v>
      </c>
      <c r="M100" s="2"/>
      <c r="N100" s="6">
        <f t="shared" si="73"/>
        <v>0</v>
      </c>
      <c r="O100" s="11"/>
      <c r="P100" s="7"/>
      <c r="Q100" s="2"/>
      <c r="R100" s="6">
        <f t="shared" si="74"/>
        <v>0</v>
      </c>
      <c r="S100" s="2"/>
      <c r="T100" s="7">
        <v>411</v>
      </c>
      <c r="U100" s="2"/>
      <c r="V100" s="6">
        <f t="shared" si="75"/>
        <v>2.5160697887970616E-3</v>
      </c>
      <c r="W100" s="2"/>
      <c r="X100" s="7">
        <f t="shared" si="76"/>
        <v>-411</v>
      </c>
      <c r="Y100" s="2"/>
      <c r="Z100" s="6">
        <f t="shared" si="77"/>
        <v>-1</v>
      </c>
    </row>
    <row r="101" spans="1:26" s="24" customFormat="1" hidden="1" outlineLevel="2" x14ac:dyDescent="0.25">
      <c r="A101" s="27"/>
      <c r="B101" s="11" t="str">
        <f>CONCATENATE("          ", "6248", " - ", "UNIFORMS")</f>
        <v xml:space="preserve">          6248 - UNIFORMS</v>
      </c>
      <c r="C101" s="11"/>
      <c r="D101" s="7"/>
      <c r="E101" s="2"/>
      <c r="F101" s="6">
        <f t="shared" si="70"/>
        <v>0</v>
      </c>
      <c r="G101" s="2"/>
      <c r="H101" s="7">
        <v>0</v>
      </c>
      <c r="I101" s="2"/>
      <c r="J101" s="6">
        <f t="shared" si="71"/>
        <v>0</v>
      </c>
      <c r="K101" s="2"/>
      <c r="L101" s="7">
        <f t="shared" si="72"/>
        <v>0</v>
      </c>
      <c r="M101" s="2"/>
      <c r="N101" s="6">
        <f t="shared" si="73"/>
        <v>0</v>
      </c>
      <c r="O101" s="11"/>
      <c r="P101" s="7"/>
      <c r="Q101" s="2"/>
      <c r="R101" s="6">
        <f t="shared" si="74"/>
        <v>0</v>
      </c>
      <c r="S101" s="2"/>
      <c r="T101" s="7">
        <v>15</v>
      </c>
      <c r="U101" s="2"/>
      <c r="V101" s="6">
        <f t="shared" si="75"/>
        <v>9.1827364554637278E-5</v>
      </c>
      <c r="W101" s="2"/>
      <c r="X101" s="7">
        <f t="shared" si="76"/>
        <v>-15</v>
      </c>
      <c r="Y101" s="2"/>
      <c r="Z101" s="6">
        <f t="shared" si="77"/>
        <v>-1</v>
      </c>
    </row>
    <row r="102" spans="1:26" s="28" customFormat="1" outlineLevel="1" collapsed="1" x14ac:dyDescent="0.25">
      <c r="A102" s="29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SUM(OSRRefD22_18x_0)</f>
        <v>298.14</v>
      </c>
      <c r="E102" s="1"/>
      <c r="F102" s="5">
        <f t="shared" ref="F102:F104" si="78">IF(D$12=0,0,D102/D$12)</f>
        <v>5.9650726926959172E-3</v>
      </c>
      <c r="G102" s="1"/>
      <c r="H102" s="1">
        <f>SUM(OSRRefH22_18x_0)</f>
        <v>235</v>
      </c>
      <c r="I102" s="1"/>
      <c r="J102" s="5">
        <f t="shared" ref="J102:J104" si="79">IF(H$12=0,0,H102/H$12)</f>
        <v>4.6409669010190379E-3</v>
      </c>
      <c r="K102" s="1"/>
      <c r="L102" s="1">
        <f t="shared" ref="L102:L104" si="80">+D102-H102</f>
        <v>63.139999999999986</v>
      </c>
      <c r="M102" s="1"/>
      <c r="N102" s="5">
        <f t="shared" ref="N102:N104" si="81">IF(H102=0,0,L102/H102)</f>
        <v>0.26868085106382972</v>
      </c>
      <c r="O102" s="14"/>
      <c r="P102" s="1">
        <f>SUM(OSRRefP22_18x_0)</f>
        <v>5197.41</v>
      </c>
      <c r="Q102" s="1"/>
      <c r="R102" s="5">
        <f t="shared" ref="R102:R104" si="82">IF(P$12=0,0,P102/P$12)</f>
        <v>1.5929859712743875E-2</v>
      </c>
      <c r="S102" s="1"/>
      <c r="T102" s="1">
        <f>SUM(OSRRefT22_18x_0)</f>
        <v>2672</v>
      </c>
      <c r="U102" s="1"/>
      <c r="V102" s="5">
        <f t="shared" ref="V102:V104" si="83">IF(T$12=0,0,T102/T$12)</f>
        <v>1.6357514539332721E-2</v>
      </c>
      <c r="W102" s="1"/>
      <c r="X102" s="1">
        <f t="shared" ref="X102:X104" si="84">+P102-T102</f>
        <v>2525.41</v>
      </c>
      <c r="Y102" s="1"/>
      <c r="Z102" s="5">
        <f t="shared" ref="Z102:Z104" si="85">IF(T102=0,0,X102/T102)</f>
        <v>0.9451384730538922</v>
      </c>
    </row>
    <row r="103" spans="1:26" s="24" customFormat="1" hidden="1" outlineLevel="2" x14ac:dyDescent="0.25">
      <c r="A103" s="27"/>
      <c r="B103" s="11" t="str">
        <f>CONCATENATE("          ", "6303", " - ", "DATA PHONE LINES")</f>
        <v xml:space="preserve">          6303 - DATA PHONE LINES</v>
      </c>
      <c r="C103" s="11"/>
      <c r="D103" s="7"/>
      <c r="E103" s="2"/>
      <c r="F103" s="6">
        <f t="shared" si="78"/>
        <v>0</v>
      </c>
      <c r="G103" s="2"/>
      <c r="H103" s="7">
        <v>135</v>
      </c>
      <c r="I103" s="2"/>
      <c r="J103" s="6">
        <f t="shared" si="79"/>
        <v>2.6660873686705109E-3</v>
      </c>
      <c r="K103" s="2"/>
      <c r="L103" s="7">
        <f t="shared" si="80"/>
        <v>-135</v>
      </c>
      <c r="M103" s="2"/>
      <c r="N103" s="6">
        <f t="shared" si="81"/>
        <v>-1</v>
      </c>
      <c r="O103" s="11"/>
      <c r="P103" s="7"/>
      <c r="Q103" s="2"/>
      <c r="R103" s="6">
        <f t="shared" si="82"/>
        <v>0</v>
      </c>
      <c r="S103" s="2"/>
      <c r="T103" s="7">
        <v>1122</v>
      </c>
      <c r="U103" s="2"/>
      <c r="V103" s="6">
        <f t="shared" si="83"/>
        <v>6.8686868686868687E-3</v>
      </c>
      <c r="W103" s="2"/>
      <c r="X103" s="7">
        <f t="shared" si="84"/>
        <v>-1122</v>
      </c>
      <c r="Y103" s="2"/>
      <c r="Z103" s="6">
        <f t="shared" si="85"/>
        <v>-1</v>
      </c>
    </row>
    <row r="104" spans="1:26" s="24" customFormat="1" hidden="1" outlineLevel="2" x14ac:dyDescent="0.25">
      <c r="A104" s="27"/>
      <c r="B104" s="11" t="str">
        <f>CONCATENATE("          ", "6309", " - ", "TELEPHONE")</f>
        <v xml:space="preserve">          6309 - TELEPHONE</v>
      </c>
      <c r="C104" s="11"/>
      <c r="D104" s="7">
        <v>298.14</v>
      </c>
      <c r="E104" s="2"/>
      <c r="F104" s="6">
        <f t="shared" si="78"/>
        <v>5.9650726926959172E-3</v>
      </c>
      <c r="G104" s="2"/>
      <c r="H104" s="7">
        <v>100</v>
      </c>
      <c r="I104" s="2"/>
      <c r="J104" s="6">
        <f t="shared" si="79"/>
        <v>1.9748795323485269E-3</v>
      </c>
      <c r="K104" s="2"/>
      <c r="L104" s="7">
        <f t="shared" si="80"/>
        <v>198.14</v>
      </c>
      <c r="M104" s="2"/>
      <c r="N104" s="6">
        <f t="shared" si="81"/>
        <v>1.9813999999999998</v>
      </c>
      <c r="O104" s="11"/>
      <c r="P104" s="7">
        <v>5197.41</v>
      </c>
      <c r="Q104" s="2"/>
      <c r="R104" s="6">
        <f t="shared" si="82"/>
        <v>1.5929859712743875E-2</v>
      </c>
      <c r="S104" s="2"/>
      <c r="T104" s="7">
        <v>1550</v>
      </c>
      <c r="U104" s="2"/>
      <c r="V104" s="6">
        <f t="shared" si="83"/>
        <v>9.4888276706458531E-3</v>
      </c>
      <c r="W104" s="2"/>
      <c r="X104" s="7">
        <f t="shared" si="84"/>
        <v>3647.41</v>
      </c>
      <c r="Y104" s="2"/>
      <c r="Z104" s="6">
        <f t="shared" si="85"/>
        <v>2.3531677419354837</v>
      </c>
    </row>
    <row r="105" spans="1:26" s="28" customFormat="1" outlineLevel="1" collapsed="1" x14ac:dyDescent="0.25">
      <c r="A105" s="29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SUM(OSRRefD22_19x_0)</f>
        <v>0</v>
      </c>
      <c r="E105" s="1"/>
      <c r="F105" s="5">
        <f t="shared" ref="F105:F110" si="86">IF(D$12=0,0,D105/D$12)</f>
        <v>0</v>
      </c>
      <c r="G105" s="1"/>
      <c r="H105" s="1">
        <f>SUM(OSRRefH22_19x_0)</f>
        <v>0</v>
      </c>
      <c r="I105" s="1"/>
      <c r="J105" s="5">
        <f t="shared" ref="J105:J110" si="87">IF(H$12=0,0,H105/H$12)</f>
        <v>0</v>
      </c>
      <c r="K105" s="1"/>
      <c r="L105" s="1">
        <f t="shared" ref="L105:L110" si="88">+D105-H105</f>
        <v>0</v>
      </c>
      <c r="M105" s="1"/>
      <c r="N105" s="5">
        <f t="shared" ref="N105:N110" si="89">IF(H105=0,0,L105/H105)</f>
        <v>0</v>
      </c>
      <c r="O105" s="14"/>
      <c r="P105" s="1">
        <f>SUM(OSRRefP22_19x_0)</f>
        <v>400</v>
      </c>
      <c r="Q105" s="1"/>
      <c r="R105" s="5">
        <f t="shared" ref="R105:R110" si="90">IF(P$12=0,0,P105/P$12)</f>
        <v>1.2259844586241129E-3</v>
      </c>
      <c r="S105" s="1"/>
      <c r="T105" s="1">
        <f>SUM(OSRRefT22_19x_0)</f>
        <v>0</v>
      </c>
      <c r="U105" s="1"/>
      <c r="V105" s="5">
        <f t="shared" ref="V105:V110" si="91">IF(T$12=0,0,T105/T$12)</f>
        <v>0</v>
      </c>
      <c r="W105" s="1"/>
      <c r="X105" s="1">
        <f t="shared" ref="X105:X110" si="92">+P105-T105</f>
        <v>400</v>
      </c>
      <c r="Y105" s="1"/>
      <c r="Z105" s="5">
        <f t="shared" ref="Z105:Z110" si="93">IF(T105=0,0,X105/T105)</f>
        <v>0</v>
      </c>
    </row>
    <row r="106" spans="1:26" s="24" customFormat="1" hidden="1" outlineLevel="2" x14ac:dyDescent="0.25">
      <c r="A106" s="27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86"/>
        <v>0</v>
      </c>
      <c r="G106" s="2"/>
      <c r="H106" s="7">
        <v>0</v>
      </c>
      <c r="I106" s="2"/>
      <c r="J106" s="6">
        <f t="shared" si="87"/>
        <v>0</v>
      </c>
      <c r="K106" s="2"/>
      <c r="L106" s="7">
        <f t="shared" si="88"/>
        <v>0</v>
      </c>
      <c r="M106" s="2"/>
      <c r="N106" s="6">
        <f t="shared" si="89"/>
        <v>0</v>
      </c>
      <c r="O106" s="11"/>
      <c r="P106" s="7">
        <v>400</v>
      </c>
      <c r="Q106" s="2"/>
      <c r="R106" s="6">
        <f t="shared" si="90"/>
        <v>1.2259844586241129E-3</v>
      </c>
      <c r="S106" s="2"/>
      <c r="T106" s="7">
        <v>0</v>
      </c>
      <c r="U106" s="2"/>
      <c r="V106" s="6">
        <f t="shared" si="91"/>
        <v>0</v>
      </c>
      <c r="W106" s="2"/>
      <c r="X106" s="7">
        <f t="shared" si="92"/>
        <v>400</v>
      </c>
      <c r="Y106" s="2"/>
      <c r="Z106" s="6">
        <f t="shared" si="93"/>
        <v>0</v>
      </c>
    </row>
    <row r="107" spans="1:26" s="28" customFormat="1" outlineLevel="1" collapsed="1" x14ac:dyDescent="0.25">
      <c r="A107" s="29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SUM(OSRRefD22_20x_0)</f>
        <v>0</v>
      </c>
      <c r="E107" s="1"/>
      <c r="F107" s="5">
        <f t="shared" si="86"/>
        <v>0</v>
      </c>
      <c r="G107" s="1"/>
      <c r="H107" s="1">
        <f>SUM(OSRRefH22_20x_0)</f>
        <v>0</v>
      </c>
      <c r="I107" s="1"/>
      <c r="J107" s="5">
        <f t="shared" si="87"/>
        <v>0</v>
      </c>
      <c r="K107" s="1"/>
      <c r="L107" s="1">
        <f t="shared" si="88"/>
        <v>0</v>
      </c>
      <c r="M107" s="1"/>
      <c r="N107" s="5">
        <f t="shared" si="89"/>
        <v>0</v>
      </c>
      <c r="O107" s="14"/>
      <c r="P107" s="1">
        <f>SUM(OSRRefP22_20x_0)</f>
        <v>332.21</v>
      </c>
      <c r="Q107" s="1"/>
      <c r="R107" s="5">
        <f t="shared" si="90"/>
        <v>1.0182107424987913E-3</v>
      </c>
      <c r="S107" s="1"/>
      <c r="T107" s="1">
        <f>SUM(OSRRefT22_20x_0)</f>
        <v>0</v>
      </c>
      <c r="U107" s="1"/>
      <c r="V107" s="5">
        <f t="shared" si="91"/>
        <v>0</v>
      </c>
      <c r="W107" s="1"/>
      <c r="X107" s="1">
        <f t="shared" si="92"/>
        <v>332.21</v>
      </c>
      <c r="Y107" s="1"/>
      <c r="Z107" s="5">
        <f t="shared" si="93"/>
        <v>0</v>
      </c>
    </row>
    <row r="108" spans="1:26" s="24" customFormat="1" hidden="1" outlineLevel="2" x14ac:dyDescent="0.25">
      <c r="A108" s="27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6"/>
        <v>0</v>
      </c>
      <c r="G108" s="2"/>
      <c r="H108" s="7"/>
      <c r="I108" s="2"/>
      <c r="J108" s="6">
        <f t="shared" si="87"/>
        <v>0</v>
      </c>
      <c r="K108" s="2"/>
      <c r="L108" s="7">
        <f t="shared" si="88"/>
        <v>0</v>
      </c>
      <c r="M108" s="2"/>
      <c r="N108" s="6">
        <f t="shared" si="89"/>
        <v>0</v>
      </c>
      <c r="O108" s="11"/>
      <c r="P108" s="7"/>
      <c r="Q108" s="2"/>
      <c r="R108" s="6">
        <f t="shared" si="90"/>
        <v>0</v>
      </c>
      <c r="S108" s="2"/>
      <c r="T108" s="7">
        <v>0</v>
      </c>
      <c r="U108" s="2"/>
      <c r="V108" s="6">
        <f t="shared" si="91"/>
        <v>0</v>
      </c>
      <c r="W108" s="2"/>
      <c r="X108" s="7">
        <f t="shared" si="92"/>
        <v>0</v>
      </c>
      <c r="Y108" s="2"/>
      <c r="Z108" s="6">
        <f t="shared" si="93"/>
        <v>0</v>
      </c>
    </row>
    <row r="109" spans="1:26" s="24" customFormat="1" hidden="1" outlineLevel="2" x14ac:dyDescent="0.25">
      <c r="A109" s="27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6"/>
        <v>0</v>
      </c>
      <c r="G109" s="2"/>
      <c r="H109" s="7"/>
      <c r="I109" s="2"/>
      <c r="J109" s="6">
        <f t="shared" si="87"/>
        <v>0</v>
      </c>
      <c r="K109" s="2"/>
      <c r="L109" s="7">
        <f t="shared" si="88"/>
        <v>0</v>
      </c>
      <c r="M109" s="2"/>
      <c r="N109" s="6">
        <f t="shared" si="89"/>
        <v>0</v>
      </c>
      <c r="O109" s="11"/>
      <c r="P109" s="7"/>
      <c r="Q109" s="2"/>
      <c r="R109" s="6">
        <f t="shared" si="90"/>
        <v>0</v>
      </c>
      <c r="S109" s="2"/>
      <c r="T109" s="7">
        <v>0</v>
      </c>
      <c r="U109" s="2"/>
      <c r="V109" s="6">
        <f t="shared" si="91"/>
        <v>0</v>
      </c>
      <c r="W109" s="2"/>
      <c r="X109" s="7">
        <f t="shared" si="92"/>
        <v>0</v>
      </c>
      <c r="Y109" s="2"/>
      <c r="Z109" s="6">
        <f t="shared" si="93"/>
        <v>0</v>
      </c>
    </row>
    <row r="110" spans="1:26" s="24" customFormat="1" hidden="1" outlineLevel="2" x14ac:dyDescent="0.25">
      <c r="A110" s="27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6"/>
        <v>0</v>
      </c>
      <c r="G110" s="2"/>
      <c r="H110" s="7"/>
      <c r="I110" s="2"/>
      <c r="J110" s="6">
        <f t="shared" si="87"/>
        <v>0</v>
      </c>
      <c r="K110" s="2"/>
      <c r="L110" s="7">
        <f t="shared" si="88"/>
        <v>0</v>
      </c>
      <c r="M110" s="2"/>
      <c r="N110" s="6">
        <f t="shared" si="89"/>
        <v>0</v>
      </c>
      <c r="O110" s="11"/>
      <c r="P110" s="7">
        <v>332.21</v>
      </c>
      <c r="Q110" s="2"/>
      <c r="R110" s="6">
        <f t="shared" si="90"/>
        <v>1.0182107424987913E-3</v>
      </c>
      <c r="S110" s="2"/>
      <c r="T110" s="7"/>
      <c r="U110" s="2"/>
      <c r="V110" s="6">
        <f t="shared" si="91"/>
        <v>0</v>
      </c>
      <c r="W110" s="2"/>
      <c r="X110" s="7">
        <f t="shared" si="92"/>
        <v>332.21</v>
      </c>
      <c r="Y110" s="2"/>
      <c r="Z110" s="6">
        <f t="shared" si="93"/>
        <v>0</v>
      </c>
    </row>
    <row r="111" spans="1:26" s="28" customFormat="1" outlineLevel="1" collapsed="1" x14ac:dyDescent="0.25">
      <c r="A111" s="29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SUM(OSRRefD22_21x_0)</f>
        <v>3660</v>
      </c>
      <c r="E111" s="1"/>
      <c r="F111" s="5">
        <f t="shared" ref="F111:F112" si="94">IF(D$12=0,0,D111/D$12)</f>
        <v>7.3227899829835172E-2</v>
      </c>
      <c r="G111" s="1"/>
      <c r="H111" s="1">
        <f>SUM(OSRRefH22_21x_0)</f>
        <v>3300</v>
      </c>
      <c r="I111" s="1"/>
      <c r="J111" s="5">
        <f t="shared" ref="J111:J112" si="95">IF(H$12=0,0,H111/H$12)</f>
        <v>6.5171024567501387E-2</v>
      </c>
      <c r="K111" s="1"/>
      <c r="L111" s="1">
        <f t="shared" ref="L111:L112" si="96">+D111-H111</f>
        <v>360</v>
      </c>
      <c r="M111" s="1"/>
      <c r="N111" s="5">
        <f t="shared" ref="N111:N112" si="97">IF(H111=0,0,L111/H111)</f>
        <v>0.10909090909090909</v>
      </c>
      <c r="O111" s="14"/>
      <c r="P111" s="1">
        <f>SUM(OSRRefP22_21x_0)</f>
        <v>8312</v>
      </c>
      <c r="Q111" s="1"/>
      <c r="R111" s="5">
        <f t="shared" ref="R111:R112" si="98">IF(P$12=0,0,P111/P$12)</f>
        <v>2.5475957050209067E-2</v>
      </c>
      <c r="S111" s="1"/>
      <c r="T111" s="1">
        <f>SUM(OSRRefT22_21x_0)</f>
        <v>26400</v>
      </c>
      <c r="U111" s="1"/>
      <c r="V111" s="5">
        <f t="shared" ref="V111:V112" si="99">IF(T$12=0,0,T111/T$12)</f>
        <v>0.16161616161616163</v>
      </c>
      <c r="W111" s="1"/>
      <c r="X111" s="1">
        <f t="shared" ref="X111:X112" si="100">+P111-T111</f>
        <v>-18088</v>
      </c>
      <c r="Y111" s="1"/>
      <c r="Z111" s="5">
        <f t="shared" ref="Z111:Z112" si="101">IF(T111=0,0,X111/T111)</f>
        <v>-0.68515151515151518</v>
      </c>
    </row>
    <row r="112" spans="1:26" s="24" customFormat="1" hidden="1" outlineLevel="2" x14ac:dyDescent="0.25">
      <c r="A112" s="27"/>
      <c r="B112" s="11" t="str">
        <f>CONCATENATE("          ", "6274", " - ", "UTILITIES")</f>
        <v xml:space="preserve">          6274 - UTILITIES</v>
      </c>
      <c r="C112" s="11"/>
      <c r="D112" s="7">
        <v>3660</v>
      </c>
      <c r="E112" s="2"/>
      <c r="F112" s="6">
        <f t="shared" si="94"/>
        <v>7.3227899829835172E-2</v>
      </c>
      <c r="G112" s="2"/>
      <c r="H112" s="7">
        <v>3300</v>
      </c>
      <c r="I112" s="2"/>
      <c r="J112" s="6">
        <f t="shared" si="95"/>
        <v>6.5171024567501387E-2</v>
      </c>
      <c r="K112" s="2"/>
      <c r="L112" s="7">
        <f t="shared" si="96"/>
        <v>360</v>
      </c>
      <c r="M112" s="2"/>
      <c r="N112" s="6">
        <f t="shared" si="97"/>
        <v>0.10909090909090909</v>
      </c>
      <c r="O112" s="11"/>
      <c r="P112" s="7">
        <v>8312</v>
      </c>
      <c r="Q112" s="2"/>
      <c r="R112" s="6">
        <f t="shared" si="98"/>
        <v>2.5475957050209067E-2</v>
      </c>
      <c r="S112" s="2"/>
      <c r="T112" s="7">
        <v>26400</v>
      </c>
      <c r="U112" s="2"/>
      <c r="V112" s="6">
        <f t="shared" si="99"/>
        <v>0.16161616161616163</v>
      </c>
      <c r="W112" s="2"/>
      <c r="X112" s="7">
        <f t="shared" si="100"/>
        <v>-18088</v>
      </c>
      <c r="Y112" s="2"/>
      <c r="Z112" s="6">
        <f t="shared" si="101"/>
        <v>-0.68515151515151518</v>
      </c>
    </row>
    <row r="113" spans="1:26" s="58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6" t="s">
        <v>0</v>
      </c>
      <c r="C114" s="10"/>
      <c r="D114" s="4">
        <f>SUM(OSRRefD25x_0)</f>
        <v>1400.8799999999999</v>
      </c>
      <c r="E114" s="4"/>
      <c r="F114" s="12">
        <f t="shared" ref="F114:F118" si="102">IF(D$12=0,0,D114/D$12)</f>
        <v>2.8028278774212975E-2</v>
      </c>
      <c r="G114" s="4"/>
      <c r="H114" s="4">
        <f>SUM(OSRRefH25x_0)</f>
        <v>6050</v>
      </c>
      <c r="I114" s="4"/>
      <c r="J114" s="12">
        <f t="shared" ref="J114:J118" si="103">IF(H$12=0,0,H114/H$12)</f>
        <v>0.11948021170708586</v>
      </c>
      <c r="K114" s="4"/>
      <c r="L114" s="4">
        <f t="shared" ref="L114:L118" si="104">+D114-H114</f>
        <v>-4649.12</v>
      </c>
      <c r="M114" s="4"/>
      <c r="N114" s="12">
        <f t="shared" ref="N114:N118" si="105">IF(H114=0,0,L114/H114)</f>
        <v>-0.76844958677685948</v>
      </c>
      <c r="O114" s="10"/>
      <c r="P114" s="4">
        <f>SUM(OSRRefP25x_0)</f>
        <v>17749.219999999998</v>
      </c>
      <c r="Q114" s="4"/>
      <c r="R114" s="12">
        <f t="shared" ref="R114:R118" si="106">IF(P$12=0,0,P114/P$12)</f>
        <v>5.4400669681750682E-2</v>
      </c>
      <c r="S114" s="4"/>
      <c r="T114" s="4">
        <f>SUM(OSRRefT25x_0)</f>
        <v>40275</v>
      </c>
      <c r="U114" s="4"/>
      <c r="V114" s="12">
        <f t="shared" ref="V114:V118" si="107">IF(T$12=0,0,T114/T$12)</f>
        <v>0.24655647382920109</v>
      </c>
      <c r="W114" s="4"/>
      <c r="X114" s="4">
        <f t="shared" ref="X114:X118" si="108">+P114-T114</f>
        <v>-22525.780000000002</v>
      </c>
      <c r="Y114" s="4"/>
      <c r="Z114" s="12">
        <f t="shared" ref="Z114:Z118" si="109">IF(T114=0,0,X114/T114)</f>
        <v>-0.55929931719428927</v>
      </c>
    </row>
    <row r="115" spans="1:26" s="24" customFormat="1" hidden="1" outlineLevel="1" x14ac:dyDescent="0.25">
      <c r="A115" s="51"/>
      <c r="B115" s="11" t="str">
        <f>CONCATENATE("          ", "9150", " - ", "MISC. INCOME")</f>
        <v xml:space="preserve">          9150 - MISC. INCOME</v>
      </c>
      <c r="C115" s="11"/>
      <c r="D115" s="2">
        <f t="shared" ref="D115:D116" si="110">0</f>
        <v>0</v>
      </c>
      <c r="E115" s="2"/>
      <c r="F115" s="22">
        <f t="shared" si="102"/>
        <v>0</v>
      </c>
      <c r="G115" s="2"/>
      <c r="H115" s="2">
        <v>3180</v>
      </c>
      <c r="I115" s="2"/>
      <c r="J115" s="22">
        <f t="shared" si="103"/>
        <v>6.2801169128683151E-2</v>
      </c>
      <c r="K115" s="2"/>
      <c r="L115" s="2">
        <f t="shared" si="104"/>
        <v>-3180</v>
      </c>
      <c r="M115" s="2"/>
      <c r="N115" s="22">
        <f t="shared" si="105"/>
        <v>-1</v>
      </c>
      <c r="O115" s="11"/>
      <c r="P115" s="2">
        <f>--1728.05</f>
        <v>1728.05</v>
      </c>
      <c r="Q115" s="2"/>
      <c r="R115" s="22">
        <f t="shared" si="106"/>
        <v>5.2964061093134958E-3</v>
      </c>
      <c r="S115" s="2"/>
      <c r="T115" s="2">
        <v>16672</v>
      </c>
      <c r="U115" s="2"/>
      <c r="V115" s="22">
        <f t="shared" si="107"/>
        <v>0.10206305479032751</v>
      </c>
      <c r="W115" s="2"/>
      <c r="X115" s="2">
        <f t="shared" si="108"/>
        <v>-14943.95</v>
      </c>
      <c r="Y115" s="2"/>
      <c r="Z115" s="22">
        <f t="shared" si="109"/>
        <v>-0.89635016794625721</v>
      </c>
    </row>
    <row r="116" spans="1:26" s="24" customFormat="1" hidden="1" outlineLevel="1" x14ac:dyDescent="0.25">
      <c r="A116" s="51"/>
      <c r="B116" s="11" t="str">
        <f>CONCATENATE("          ", "9151", " - ", "MISC. INCOME")</f>
        <v xml:space="preserve">          9151 - MISC. INCOME</v>
      </c>
      <c r="C116" s="11"/>
      <c r="D116" s="2">
        <f t="shared" si="110"/>
        <v>0</v>
      </c>
      <c r="E116" s="2"/>
      <c r="F116" s="22">
        <f t="shared" si="102"/>
        <v>0</v>
      </c>
      <c r="G116" s="2"/>
      <c r="H116" s="2">
        <v>1686</v>
      </c>
      <c r="I116" s="2"/>
      <c r="J116" s="22">
        <f t="shared" si="103"/>
        <v>3.3296468915396157E-2</v>
      </c>
      <c r="K116" s="2"/>
      <c r="L116" s="2">
        <f t="shared" si="104"/>
        <v>-1686</v>
      </c>
      <c r="M116" s="2"/>
      <c r="N116" s="22">
        <f t="shared" si="105"/>
        <v>-1</v>
      </c>
      <c r="O116" s="11"/>
      <c r="P116" s="2">
        <f>0</f>
        <v>0</v>
      </c>
      <c r="Q116" s="2"/>
      <c r="R116" s="22">
        <f t="shared" si="106"/>
        <v>0</v>
      </c>
      <c r="S116" s="2"/>
      <c r="T116" s="2">
        <v>15473</v>
      </c>
      <c r="U116" s="2"/>
      <c r="V116" s="22">
        <f t="shared" si="107"/>
        <v>9.4722987450260171E-2</v>
      </c>
      <c r="W116" s="2"/>
      <c r="X116" s="2">
        <f t="shared" si="108"/>
        <v>-15473</v>
      </c>
      <c r="Y116" s="2"/>
      <c r="Z116" s="22">
        <f t="shared" si="109"/>
        <v>-1</v>
      </c>
    </row>
    <row r="117" spans="1:26" s="24" customFormat="1" hidden="1" outlineLevel="1" x14ac:dyDescent="0.25">
      <c r="A117" s="51"/>
      <c r="B117" s="11" t="str">
        <f>CONCATENATE("          ", "9160", " - ", "MISC. INCOME")</f>
        <v xml:space="preserve">          9160 - MISC. INCOME</v>
      </c>
      <c r="C117" s="11"/>
      <c r="D117" s="2">
        <f>--364.79</f>
        <v>364.79</v>
      </c>
      <c r="E117" s="2"/>
      <c r="F117" s="22">
        <f t="shared" si="102"/>
        <v>7.2985807592692827E-3</v>
      </c>
      <c r="G117" s="2"/>
      <c r="H117" s="2">
        <v>1184</v>
      </c>
      <c r="I117" s="2"/>
      <c r="J117" s="22">
        <f t="shared" si="103"/>
        <v>2.3382573663006556E-2</v>
      </c>
      <c r="K117" s="2"/>
      <c r="L117" s="2">
        <f t="shared" si="104"/>
        <v>-819.21</v>
      </c>
      <c r="M117" s="2"/>
      <c r="N117" s="22">
        <f t="shared" si="105"/>
        <v>-0.69190033783783789</v>
      </c>
      <c r="O117" s="11"/>
      <c r="P117" s="2">
        <f>--12882.96</f>
        <v>12882.96</v>
      </c>
      <c r="Q117" s="2"/>
      <c r="R117" s="22">
        <f t="shared" si="106"/>
        <v>3.9485771852690248E-2</v>
      </c>
      <c r="S117" s="2"/>
      <c r="T117" s="2">
        <v>8130</v>
      </c>
      <c r="U117" s="2"/>
      <c r="V117" s="22">
        <f t="shared" si="107"/>
        <v>4.9770431588613405E-2</v>
      </c>
      <c r="W117" s="2"/>
      <c r="X117" s="2">
        <f t="shared" si="108"/>
        <v>4752.9599999999991</v>
      </c>
      <c r="Y117" s="2"/>
      <c r="Z117" s="22">
        <f t="shared" si="109"/>
        <v>0.58461992619926184</v>
      </c>
    </row>
    <row r="118" spans="1:26" s="24" customFormat="1" hidden="1" outlineLevel="1" x14ac:dyDescent="0.25">
      <c r="A118" s="51"/>
      <c r="B118" s="11" t="str">
        <f>CONCATENATE("          ", "9165", " - ", "OTHER INCOME")</f>
        <v xml:space="preserve">          9165 - OTHER INCOME</v>
      </c>
      <c r="C118" s="11"/>
      <c r="D118" s="2">
        <f>--1036.09</f>
        <v>1036.0899999999999</v>
      </c>
      <c r="E118" s="2"/>
      <c r="F118" s="22">
        <f t="shared" si="102"/>
        <v>2.0729698014943693E-2</v>
      </c>
      <c r="G118" s="2"/>
      <c r="H118" s="2"/>
      <c r="I118" s="2"/>
      <c r="J118" s="22">
        <f t="shared" si="103"/>
        <v>0</v>
      </c>
      <c r="K118" s="2"/>
      <c r="L118" s="2">
        <f t="shared" si="104"/>
        <v>1036.0899999999999</v>
      </c>
      <c r="M118" s="2"/>
      <c r="N118" s="22">
        <f t="shared" si="105"/>
        <v>0</v>
      </c>
      <c r="O118" s="11"/>
      <c r="P118" s="2">
        <f>--3138.21</f>
        <v>3138.21</v>
      </c>
      <c r="Q118" s="2"/>
      <c r="R118" s="22">
        <f t="shared" si="106"/>
        <v>9.6184917197469442E-3</v>
      </c>
      <c r="S118" s="2"/>
      <c r="T118" s="2"/>
      <c r="U118" s="2"/>
      <c r="V118" s="22">
        <f t="shared" si="107"/>
        <v>0</v>
      </c>
      <c r="W118" s="2"/>
      <c r="X118" s="2">
        <f t="shared" si="108"/>
        <v>3138.21</v>
      </c>
      <c r="Y118" s="2"/>
      <c r="Z118" s="22">
        <f t="shared" si="109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5" t="s">
        <v>3</v>
      </c>
      <c r="C120" s="25"/>
      <c r="D120" s="19">
        <f>+D25-D27+D114</f>
        <v>-51668.670000000006</v>
      </c>
      <c r="E120" s="13"/>
      <c r="F120" s="21">
        <f>IF(D$12=0,0,D120/D$12)</f>
        <v>-1.0337672653280903</v>
      </c>
      <c r="G120" s="13"/>
      <c r="H120" s="19">
        <f>+H25-H27+H114</f>
        <v>-72059.846644579477</v>
      </c>
      <c r="I120" s="13"/>
      <c r="J120" s="21">
        <f>IF(H$12=0,0,H120/H$12)</f>
        <v>-1.4230951624255368</v>
      </c>
      <c r="K120" s="15"/>
      <c r="L120" s="19">
        <f>+D120-H120</f>
        <v>20391.176644579471</v>
      </c>
      <c r="M120" s="15"/>
      <c r="N120" s="21">
        <f>IF(H120=0,0,L120/H120)</f>
        <v>-0.28297557646985844</v>
      </c>
      <c r="O120" s="26"/>
      <c r="P120" s="19">
        <f>+P25-P27+P114</f>
        <v>-565959.37000000023</v>
      </c>
      <c r="Q120" s="13"/>
      <c r="R120" s="21">
        <f>IF(P$12=0,0,P120/P$12)</f>
        <v>-1.7346434795817358</v>
      </c>
      <c r="S120" s="13"/>
      <c r="T120" s="19">
        <f>+T25-T27+T114</f>
        <v>-730629.57110845519</v>
      </c>
      <c r="U120" s="13"/>
      <c r="V120" s="21">
        <f>IF(T$12=0,0,T120/T$12)</f>
        <v>-4.4727858653716268</v>
      </c>
      <c r="W120" s="15"/>
      <c r="X120" s="19">
        <f>+P120-T120</f>
        <v>164670.20110845496</v>
      </c>
      <c r="Y120" s="15"/>
      <c r="Z120" s="21">
        <f>IF(T120=0,0,X120/T120)</f>
        <v>-0.2253812432730172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14459.32</v>
      </c>
      <c r="E122" s="4"/>
      <c r="F122" s="12">
        <f>IF(D$12=0,0,D122/D$12)</f>
        <v>0.28929662201298695</v>
      </c>
      <c r="G122" s="4"/>
      <c r="H122" s="4">
        <v>8532</v>
      </c>
      <c r="I122" s="4"/>
      <c r="J122" s="12">
        <f>IF(H$12=0,0,H122/H$12)</f>
        <v>0.16849672169997632</v>
      </c>
      <c r="K122" s="4"/>
      <c r="L122" s="4">
        <f>+D122-H122</f>
        <v>5927.32</v>
      </c>
      <c r="M122" s="4"/>
      <c r="N122" s="12">
        <f>IF(H122=0,0,L122/H122)</f>
        <v>0.69471636193155173</v>
      </c>
      <c r="O122" s="10"/>
      <c r="P122" s="4">
        <v>64612.82</v>
      </c>
      <c r="Q122" s="4"/>
      <c r="R122" s="12">
        <f>IF(P$12=0,0,P122/P$12)</f>
        <v>0.19803578286969314</v>
      </c>
      <c r="S122" s="4"/>
      <c r="T122" s="4">
        <v>28093</v>
      </c>
      <c r="U122" s="4"/>
      <c r="V122" s="12">
        <f>IF(T$12=0,0,T122/T$12)</f>
        <v>0.17198041016222834</v>
      </c>
      <c r="W122" s="4"/>
      <c r="X122" s="4">
        <f>+P122-T122</f>
        <v>36519.82</v>
      </c>
      <c r="Y122" s="4"/>
      <c r="Z122" s="12">
        <f>IF(T122=0,0,X122/T122)</f>
        <v>1.2999615562595663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4</v>
      </c>
      <c r="C124" s="25"/>
      <c r="D124" s="34">
        <f>+D120-D122</f>
        <v>-66127.990000000005</v>
      </c>
      <c r="E124" s="13"/>
      <c r="F124" s="30">
        <f>IF(D$12=0,0,D124/D$12)</f>
        <v>-1.3230638873410772</v>
      </c>
      <c r="G124" s="13"/>
      <c r="H124" s="34">
        <f>+H120-H122</f>
        <v>-80591.846644579477</v>
      </c>
      <c r="I124" s="13"/>
      <c r="J124" s="30">
        <f>IF(H$12=0,0,H124/H$12)</f>
        <v>-1.591591884125513</v>
      </c>
      <c r="K124" s="15"/>
      <c r="L124" s="34">
        <f>D124-H124</f>
        <v>14463.856644579471</v>
      </c>
      <c r="M124" s="15"/>
      <c r="N124" s="30">
        <f>IF(H124=0,0,L124/H124)</f>
        <v>-0.17947047060935284</v>
      </c>
      <c r="O124" s="26"/>
      <c r="P124" s="34">
        <f>+P120-P122</f>
        <v>-630572.19000000018</v>
      </c>
      <c r="Q124" s="13"/>
      <c r="R124" s="30">
        <f>IF(P$12=0,0,P124/P$12)</f>
        <v>-1.9326792624514286</v>
      </c>
      <c r="S124" s="13"/>
      <c r="T124" s="34">
        <f>+T120-T122</f>
        <v>-758722.57110845519</v>
      </c>
      <c r="U124" s="13"/>
      <c r="V124" s="30">
        <f>IF(T$12=0,0,T124/T$12)</f>
        <v>-4.644766275533855</v>
      </c>
      <c r="W124" s="15"/>
      <c r="X124" s="34">
        <f>P124-T124</f>
        <v>128150.38110845501</v>
      </c>
      <c r="Y124" s="15"/>
      <c r="Z124" s="30">
        <f>IF(T124=0,0,X124/T124)</f>
        <v>-0.16890281901226928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5</v>
      </c>
      <c r="C127" s="25"/>
      <c r="D127" s="35">
        <f>SUM(D124:D126)</f>
        <v>-66127.990000000005</v>
      </c>
      <c r="E127" s="13"/>
      <c r="F127" s="31">
        <f>IF(D$12=0,0,D127/D$12)</f>
        <v>-1.3230638873410772</v>
      </c>
      <c r="G127" s="13"/>
      <c r="H127" s="35">
        <f>SUM(H124:H126)</f>
        <v>-80591.846644579477</v>
      </c>
      <c r="I127" s="13"/>
      <c r="J127" s="31">
        <f>IF(H$12=0,0,H127/H$12)</f>
        <v>-1.591591884125513</v>
      </c>
      <c r="K127" s="15"/>
      <c r="L127" s="35">
        <f>+D127-H127</f>
        <v>14463.856644579471</v>
      </c>
      <c r="M127" s="15"/>
      <c r="N127" s="31">
        <f>IF(H127=0,0,L127/H127)</f>
        <v>-0.17947047060935284</v>
      </c>
      <c r="O127" s="26"/>
      <c r="P127" s="35">
        <f>SUM(P124:P126)</f>
        <v>-630572.19000000018</v>
      </c>
      <c r="Q127" s="13"/>
      <c r="R127" s="31">
        <f>IF(P$12=0,0,P127/P$12)</f>
        <v>-1.9326792624514286</v>
      </c>
      <c r="S127" s="13"/>
      <c r="T127" s="35">
        <f>SUM(T124:T126)</f>
        <v>-758722.57110845519</v>
      </c>
      <c r="U127" s="13"/>
      <c r="V127" s="31">
        <f>IF(T$12=0,0,T127/T$12)</f>
        <v>-4.644766275533855</v>
      </c>
      <c r="W127" s="15"/>
      <c r="X127" s="35">
        <f>+P127-T127</f>
        <v>128150.38110845501</v>
      </c>
      <c r="Y127" s="15"/>
      <c r="Z127" s="31">
        <f>IF(T127=0,0,X127/T127)</f>
        <v>-0.16890281901226928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53">
        <v>44267.671499965276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62" t="s">
        <v>314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7"/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-2369.5500000000002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-2369.5500000000002</v>
      </c>
      <c r="M16" s="4"/>
      <c r="N16" s="12">
        <f t="shared" ref="N16:N18" si="9">IF(H16=0,0,L16/H16)</f>
        <v>0</v>
      </c>
      <c r="O16" s="10"/>
      <c r="P16" s="4">
        <f>SUM(OSRRefP16x_0)</f>
        <v>-2369.5500000000002</v>
      </c>
      <c r="Q16" s="4"/>
      <c r="R16" s="12">
        <f t="shared" ref="R16:R18" si="10">IF(P$12=0,0,P16/P$12)</f>
        <v>0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-2369.5500000000002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>
        <v>-2369.5500000000002</v>
      </c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-2369.5500000000002</v>
      </c>
      <c r="M18" s="2"/>
      <c r="N18" s="22">
        <f t="shared" si="9"/>
        <v>0</v>
      </c>
      <c r="O18" s="11"/>
      <c r="P18" s="2">
        <v>-2369.5500000000002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-2369.5500000000002</v>
      </c>
      <c r="Y18" s="2"/>
      <c r="Z18" s="22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19">
        <f>D12-D16</f>
        <v>2369.5500000000002</v>
      </c>
      <c r="E20" s="13"/>
      <c r="F20" s="21">
        <f>IF(D$12=0,0,D20/D$12)</f>
        <v>0</v>
      </c>
      <c r="G20" s="13"/>
      <c r="H20" s="19">
        <f>H12-H16</f>
        <v>0</v>
      </c>
      <c r="I20" s="13"/>
      <c r="J20" s="21">
        <f>IF(H$12=0,0,H20/H$12)</f>
        <v>0</v>
      </c>
      <c r="K20" s="15"/>
      <c r="L20" s="19">
        <f>+D20-H20</f>
        <v>2369.5500000000002</v>
      </c>
      <c r="M20" s="15"/>
      <c r="N20" s="21">
        <f>IF(H20=0,0,L20/H20)</f>
        <v>0</v>
      </c>
      <c r="O20" s="26"/>
      <c r="P20" s="19">
        <f>P12-P16</f>
        <v>2369.5500000000002</v>
      </c>
      <c r="Q20" s="13"/>
      <c r="R20" s="21">
        <f>IF(P$12=0,0,P20/P$12)</f>
        <v>0</v>
      </c>
      <c r="S20" s="13"/>
      <c r="T20" s="19">
        <f>T12-T16</f>
        <v>0</v>
      </c>
      <c r="U20" s="13"/>
      <c r="V20" s="21">
        <f>IF(T$12=0,0,T20/T$12)</f>
        <v>0</v>
      </c>
      <c r="W20" s="15"/>
      <c r="X20" s="19">
        <f>+P20-T20</f>
        <v>2369.5500000000002</v>
      </c>
      <c r="Y20" s="15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5696.01</v>
      </c>
      <c r="E22" s="20"/>
      <c r="F22" s="33">
        <f t="shared" ref="F22:F31" si="14">IF(D$12=0,0,D22/D$12)</f>
        <v>0</v>
      </c>
      <c r="G22" s="20"/>
      <c r="H22" s="20">
        <f>SUM(OSRRefH22x_0)</f>
        <v>7384.333333333333</v>
      </c>
      <c r="I22" s="20"/>
      <c r="J22" s="33">
        <f t="shared" ref="J22:J31" si="15">IF(H$12=0,0,H22/H$12)</f>
        <v>0</v>
      </c>
      <c r="K22" s="4"/>
      <c r="L22" s="20">
        <f t="shared" ref="L22:L31" si="16">+D22-H22</f>
        <v>-1688.3233333333328</v>
      </c>
      <c r="M22" s="4"/>
      <c r="N22" s="33">
        <f t="shared" ref="N22:N31" si="17">IF(H22=0,0,L22/H22)</f>
        <v>-0.22863585067485209</v>
      </c>
      <c r="O22" s="10"/>
      <c r="P22" s="20">
        <f>SUM(OSRRefP22x_0)</f>
        <v>56582.060000000005</v>
      </c>
      <c r="Q22" s="20"/>
      <c r="R22" s="33">
        <f t="shared" ref="R22:R31" si="18">IF(P$12=0,0,P22/P$12)</f>
        <v>0</v>
      </c>
      <c r="S22" s="20"/>
      <c r="T22" s="20">
        <f>SUM(OSRRefT22x_0)</f>
        <v>59365.666666666664</v>
      </c>
      <c r="U22" s="20"/>
      <c r="V22" s="33">
        <f t="shared" ref="V22:V31" si="19">IF(T$12=0,0,T22/T$12)</f>
        <v>0</v>
      </c>
      <c r="W22" s="4"/>
      <c r="X22" s="20">
        <f t="shared" ref="X22:X31" si="20">+P22-T22</f>
        <v>-2783.6066666666593</v>
      </c>
      <c r="Y22" s="4"/>
      <c r="Z22" s="33">
        <f t="shared" ref="Z22:Z31" si="21">IF(T22=0,0,X22/T22)</f>
        <v>-4.688916713925545E-2</v>
      </c>
    </row>
    <row r="23" spans="1:26" s="28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0</v>
      </c>
      <c r="M23" s="1"/>
      <c r="N23" s="5">
        <f t="shared" si="17"/>
        <v>0</v>
      </c>
      <c r="O23" s="14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0.83</v>
      </c>
      <c r="Y23" s="1"/>
      <c r="Z23" s="5">
        <f t="shared" si="21"/>
        <v>0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>
        <v>0.83</v>
      </c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0.83</v>
      </c>
      <c r="Y24" s="2"/>
      <c r="Z24" s="6">
        <f t="shared" si="21"/>
        <v>0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7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8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0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0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SUM(OSRRefD22_2x_0)</f>
        <v>0</v>
      </c>
      <c r="E43" s="1"/>
      <c r="F43" s="5">
        <f t="shared" ref="F43:F49" si="30">IF(D$12=0,0,D43/D$12)</f>
        <v>0</v>
      </c>
      <c r="G43" s="1"/>
      <c r="H43" s="1">
        <f>SUM(OSRRefH22_2x_0)</f>
        <v>0</v>
      </c>
      <c r="I43" s="1"/>
      <c r="J43" s="5">
        <f t="shared" ref="J43:J49" si="31">IF(H$12=0,0,H43/H$12)</f>
        <v>0</v>
      </c>
      <c r="K43" s="1"/>
      <c r="L43" s="1">
        <f t="shared" ref="L43:L49" si="32">+D43-H43</f>
        <v>0</v>
      </c>
      <c r="M43" s="1"/>
      <c r="N43" s="5">
        <f t="shared" ref="N43:N49" si="33">IF(H43=0,0,L43/H43)</f>
        <v>0</v>
      </c>
      <c r="O43" s="14"/>
      <c r="P43" s="1">
        <f>SUM(OSRRefP22_2x_0)</f>
        <v>0</v>
      </c>
      <c r="Q43" s="1"/>
      <c r="R43" s="5">
        <f t="shared" ref="R43:R49" si="34">IF(P$12=0,0,P43/P$12)</f>
        <v>0</v>
      </c>
      <c r="S43" s="1"/>
      <c r="T43" s="1">
        <f>SUM(OSRRefT22_2x_0)</f>
        <v>0</v>
      </c>
      <c r="U43" s="1"/>
      <c r="V43" s="5">
        <f t="shared" ref="V43:V49" si="35">IF(T$12=0,0,T43/T$12)</f>
        <v>0</v>
      </c>
      <c r="W43" s="1"/>
      <c r="X43" s="1">
        <f t="shared" ref="X43:X49" si="36">+P43-T43</f>
        <v>0</v>
      </c>
      <c r="Y43" s="1"/>
      <c r="Z43" s="5">
        <f t="shared" ref="Z43:Z49" si="37">IF(T43=0,0,X43/T43)</f>
        <v>0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8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5233.01</v>
      </c>
      <c r="E47" s="1"/>
      <c r="F47" s="5">
        <f t="shared" si="30"/>
        <v>0</v>
      </c>
      <c r="G47" s="1"/>
      <c r="H47" s="1">
        <f>SUM(OSRRefH22_4x_0)</f>
        <v>5233</v>
      </c>
      <c r="I47" s="1"/>
      <c r="J47" s="5">
        <f t="shared" si="31"/>
        <v>0</v>
      </c>
      <c r="K47" s="1"/>
      <c r="L47" s="1">
        <f t="shared" si="32"/>
        <v>1.0000000000218279E-2</v>
      </c>
      <c r="M47" s="1"/>
      <c r="N47" s="5">
        <f t="shared" si="33"/>
        <v>1.910949742063497E-6</v>
      </c>
      <c r="O47" s="14"/>
      <c r="P47" s="1">
        <f>SUM(OSRRefP22_4x_0)</f>
        <v>42155.199999999997</v>
      </c>
      <c r="Q47" s="1"/>
      <c r="R47" s="5">
        <f t="shared" si="34"/>
        <v>0</v>
      </c>
      <c r="S47" s="1"/>
      <c r="T47" s="1">
        <f>SUM(OSRRefT22_4x_0)</f>
        <v>42155</v>
      </c>
      <c r="U47" s="1"/>
      <c r="V47" s="5">
        <f t="shared" si="35"/>
        <v>0</v>
      </c>
      <c r="W47" s="1"/>
      <c r="X47" s="1">
        <f t="shared" si="36"/>
        <v>0.19999999999708962</v>
      </c>
      <c r="Y47" s="1"/>
      <c r="Z47" s="5">
        <f t="shared" si="37"/>
        <v>4.744395682530889E-6</v>
      </c>
    </row>
    <row r="48" spans="1:26" s="24" customFormat="1" hidden="1" outlineLevel="2" x14ac:dyDescent="0.25">
      <c r="A48" s="27"/>
      <c r="B48" s="11" t="str">
        <f>CONCATENATE("          ", "6321", " - ", "BUILDING DEPRECIATION")</f>
        <v xml:space="preserve">          6321 - BUILDING DEPRECIATION</v>
      </c>
      <c r="C48" s="11"/>
      <c r="D48" s="7">
        <v>4626.5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4626.5</v>
      </c>
      <c r="M48" s="2"/>
      <c r="N48" s="6">
        <f t="shared" si="33"/>
        <v>0</v>
      </c>
      <c r="O48" s="11"/>
      <c r="P48" s="7">
        <v>37012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37012</v>
      </c>
      <c r="Y48" s="2"/>
      <c r="Z48" s="6">
        <f t="shared" si="37"/>
        <v>0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606.51</v>
      </c>
      <c r="E49" s="2"/>
      <c r="F49" s="6">
        <f t="shared" si="30"/>
        <v>0</v>
      </c>
      <c r="G49" s="2"/>
      <c r="H49" s="7">
        <v>5233</v>
      </c>
      <c r="I49" s="2"/>
      <c r="J49" s="6">
        <f t="shared" si="31"/>
        <v>0</v>
      </c>
      <c r="K49" s="2"/>
      <c r="L49" s="7">
        <f t="shared" si="32"/>
        <v>-4626.49</v>
      </c>
      <c r="M49" s="2"/>
      <c r="N49" s="6">
        <f t="shared" si="33"/>
        <v>-0.88409898719663671</v>
      </c>
      <c r="O49" s="11"/>
      <c r="P49" s="7">
        <v>5143.2</v>
      </c>
      <c r="Q49" s="2"/>
      <c r="R49" s="6">
        <f t="shared" si="34"/>
        <v>0</v>
      </c>
      <c r="S49" s="2"/>
      <c r="T49" s="7">
        <v>42155</v>
      </c>
      <c r="U49" s="2"/>
      <c r="V49" s="6">
        <f t="shared" si="35"/>
        <v>0</v>
      </c>
      <c r="W49" s="2"/>
      <c r="X49" s="7">
        <f t="shared" si="36"/>
        <v>-37011.800000000003</v>
      </c>
      <c r="Y49" s="2"/>
      <c r="Z49" s="6">
        <f t="shared" si="37"/>
        <v>-0.87799312062626034</v>
      </c>
    </row>
    <row r="50" spans="1:26" s="28" customFormat="1" outlineLevel="1" collapsed="1" x14ac:dyDescent="0.25">
      <c r="A50" s="29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ref="F50:F60" si="38">IF(D$12=0,0,D50/D$12)</f>
        <v>0</v>
      </c>
      <c r="G50" s="1"/>
      <c r="H50" s="1">
        <f>SUM(OSRRefH22_5x_0)</f>
        <v>0</v>
      </c>
      <c r="I50" s="1"/>
      <c r="J50" s="5">
        <f t="shared" ref="J50:J60" si="39">IF(H$12=0,0,H50/H$12)</f>
        <v>0</v>
      </c>
      <c r="K50" s="1"/>
      <c r="L50" s="1">
        <f t="shared" ref="L50:L60" si="40">+D50-H50</f>
        <v>0</v>
      </c>
      <c r="M50" s="1"/>
      <c r="N50" s="5">
        <f t="shared" ref="N50:N60" si="41">IF(H50=0,0,L50/H50)</f>
        <v>0</v>
      </c>
      <c r="O50" s="14"/>
      <c r="P50" s="1">
        <f>SUM(OSRRefP22_5x_0)</f>
        <v>0</v>
      </c>
      <c r="Q50" s="1"/>
      <c r="R50" s="5">
        <f t="shared" ref="R50:R60" si="42">IF(P$12=0,0,P50/P$12)</f>
        <v>0</v>
      </c>
      <c r="S50" s="1"/>
      <c r="T50" s="1">
        <f>SUM(OSRRefT22_5x_0)</f>
        <v>0</v>
      </c>
      <c r="U50" s="1"/>
      <c r="V50" s="5">
        <f t="shared" ref="V50:V60" si="43">IF(T$12=0,0,T50/T$12)</f>
        <v>0</v>
      </c>
      <c r="W50" s="1"/>
      <c r="X50" s="1">
        <f t="shared" ref="X50:X60" si="44">+P50-T50</f>
        <v>0</v>
      </c>
      <c r="Y50" s="1"/>
      <c r="Z50" s="5">
        <f t="shared" ref="Z50:Z60" si="45">IF(T50=0,0,X50/T50)</f>
        <v>0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/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8" customFormat="1" outlineLevel="1" collapsed="1" x14ac:dyDescent="0.25">
      <c r="A52" s="29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0</v>
      </c>
      <c r="E52" s="1"/>
      <c r="F52" s="5">
        <f t="shared" si="38"/>
        <v>0</v>
      </c>
      <c r="G52" s="1"/>
      <c r="H52" s="1">
        <f>SUM(OSRRefH22_6x_0)</f>
        <v>208.333333333333</v>
      </c>
      <c r="I52" s="1"/>
      <c r="J52" s="5">
        <f t="shared" si="39"/>
        <v>0</v>
      </c>
      <c r="K52" s="1"/>
      <c r="L52" s="1">
        <f t="shared" si="40"/>
        <v>-208.333333333333</v>
      </c>
      <c r="M52" s="1"/>
      <c r="N52" s="5">
        <f t="shared" si="41"/>
        <v>-1</v>
      </c>
      <c r="O52" s="14"/>
      <c r="P52" s="1">
        <f>SUM(OSRRefP22_6x_0)</f>
        <v>96.3</v>
      </c>
      <c r="Q52" s="1"/>
      <c r="R52" s="5">
        <f t="shared" si="42"/>
        <v>0</v>
      </c>
      <c r="S52" s="1"/>
      <c r="T52" s="1">
        <f>SUM(OSRRefT22_6x_0)</f>
        <v>1666.666666666664</v>
      </c>
      <c r="U52" s="1"/>
      <c r="V52" s="5">
        <f t="shared" si="43"/>
        <v>0</v>
      </c>
      <c r="W52" s="1"/>
      <c r="X52" s="1">
        <f t="shared" si="44"/>
        <v>-1570.3666666666641</v>
      </c>
      <c r="Y52" s="1"/>
      <c r="Z52" s="5">
        <f t="shared" si="45"/>
        <v>-0.94221999999999995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>
        <v>208.333333333333</v>
      </c>
      <c r="I53" s="2"/>
      <c r="J53" s="6">
        <f t="shared" si="39"/>
        <v>0</v>
      </c>
      <c r="K53" s="2"/>
      <c r="L53" s="7">
        <f t="shared" si="40"/>
        <v>-208.333333333333</v>
      </c>
      <c r="M53" s="2"/>
      <c r="N53" s="6">
        <f t="shared" si="41"/>
        <v>-1</v>
      </c>
      <c r="O53" s="11"/>
      <c r="P53" s="7">
        <v>96.3</v>
      </c>
      <c r="Q53" s="2"/>
      <c r="R53" s="6">
        <f t="shared" si="42"/>
        <v>0</v>
      </c>
      <c r="S53" s="2"/>
      <c r="T53" s="7">
        <v>1666.666666666664</v>
      </c>
      <c r="U53" s="2"/>
      <c r="V53" s="6">
        <f t="shared" si="43"/>
        <v>0</v>
      </c>
      <c r="W53" s="2"/>
      <c r="X53" s="7">
        <f t="shared" si="44"/>
        <v>-1570.3666666666641</v>
      </c>
      <c r="Y53" s="2"/>
      <c r="Z53" s="6">
        <f t="shared" si="45"/>
        <v>-0.94221999999999995</v>
      </c>
    </row>
    <row r="54" spans="1:26" s="28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38"/>
        <v>0</v>
      </c>
      <c r="G54" s="1"/>
      <c r="H54" s="1">
        <f>SUM(OSRRefH22_7x_0)</f>
        <v>0</v>
      </c>
      <c r="I54" s="1"/>
      <c r="J54" s="5">
        <f t="shared" si="39"/>
        <v>0</v>
      </c>
      <c r="K54" s="1"/>
      <c r="L54" s="1">
        <f t="shared" si="40"/>
        <v>0</v>
      </c>
      <c r="M54" s="1"/>
      <c r="N54" s="5">
        <f t="shared" si="41"/>
        <v>0</v>
      </c>
      <c r="O54" s="14"/>
      <c r="P54" s="1">
        <f>SUM(OSRRefP22_7x_0)</f>
        <v>0</v>
      </c>
      <c r="Q54" s="1"/>
      <c r="R54" s="5">
        <f t="shared" si="42"/>
        <v>0</v>
      </c>
      <c r="S54" s="1"/>
      <c r="T54" s="1">
        <f>SUM(OSRRefT22_7x_0)</f>
        <v>0</v>
      </c>
      <c r="U54" s="1"/>
      <c r="V54" s="5">
        <f t="shared" si="43"/>
        <v>0</v>
      </c>
      <c r="W54" s="1"/>
      <c r="X54" s="1">
        <f t="shared" si="44"/>
        <v>0</v>
      </c>
      <c r="Y54" s="1"/>
      <c r="Z54" s="5">
        <f t="shared" si="45"/>
        <v>0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8"/>
        <v>0</v>
      </c>
      <c r="G55" s="2"/>
      <c r="H55" s="7">
        <v>0</v>
      </c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>
        <v>0</v>
      </c>
      <c r="Q55" s="2"/>
      <c r="R55" s="6">
        <f t="shared" si="42"/>
        <v>0</v>
      </c>
      <c r="S55" s="2"/>
      <c r="T55" s="7">
        <v>0</v>
      </c>
      <c r="U55" s="2"/>
      <c r="V55" s="6">
        <f t="shared" si="43"/>
        <v>0</v>
      </c>
      <c r="W55" s="2"/>
      <c r="X55" s="7">
        <f t="shared" si="44"/>
        <v>0</v>
      </c>
      <c r="Y55" s="2"/>
      <c r="Z55" s="6">
        <f t="shared" si="45"/>
        <v>0</v>
      </c>
    </row>
    <row r="56" spans="1:26" s="28" customFormat="1" outlineLevel="1" collapsed="1" x14ac:dyDescent="0.25">
      <c r="A56" s="29"/>
      <c r="B56" s="14" t="str">
        <f>CONCATENATE("     ","Rent                                              ")</f>
        <v xml:space="preserve">     Rent                                              </v>
      </c>
      <c r="C56" s="14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1943</v>
      </c>
      <c r="I56" s="1"/>
      <c r="J56" s="5">
        <f t="shared" si="39"/>
        <v>0</v>
      </c>
      <c r="K56" s="1"/>
      <c r="L56" s="1">
        <f t="shared" si="40"/>
        <v>-1943</v>
      </c>
      <c r="M56" s="1"/>
      <c r="N56" s="5">
        <f t="shared" si="41"/>
        <v>-1</v>
      </c>
      <c r="O56" s="14"/>
      <c r="P56" s="1">
        <f>SUM(OSRRefP22_8x_0)</f>
        <v>11100</v>
      </c>
      <c r="Q56" s="1"/>
      <c r="R56" s="5">
        <f t="shared" si="42"/>
        <v>0</v>
      </c>
      <c r="S56" s="1"/>
      <c r="T56" s="1">
        <f>SUM(OSRRefT22_8x_0)</f>
        <v>15544</v>
      </c>
      <c r="U56" s="1"/>
      <c r="V56" s="5">
        <f t="shared" si="43"/>
        <v>0</v>
      </c>
      <c r="W56" s="1"/>
      <c r="X56" s="1">
        <f t="shared" si="44"/>
        <v>-4444</v>
      </c>
      <c r="Y56" s="1"/>
      <c r="Z56" s="5">
        <f t="shared" si="45"/>
        <v>-0.28589809572825525</v>
      </c>
    </row>
    <row r="57" spans="1:26" s="24" customFormat="1" hidden="1" outlineLevel="2" x14ac:dyDescent="0.25">
      <c r="A57" s="27"/>
      <c r="B57" s="11" t="str">
        <f>CONCATENATE("          ", "6273", " - ", "RENT")</f>
        <v xml:space="preserve">          6273 - RENT</v>
      </c>
      <c r="C57" s="11"/>
      <c r="D57" s="7"/>
      <c r="E57" s="2"/>
      <c r="F57" s="6">
        <f t="shared" si="38"/>
        <v>0</v>
      </c>
      <c r="G57" s="2"/>
      <c r="H57" s="7">
        <v>1943</v>
      </c>
      <c r="I57" s="2"/>
      <c r="J57" s="6">
        <f t="shared" si="39"/>
        <v>0</v>
      </c>
      <c r="K57" s="2"/>
      <c r="L57" s="7">
        <f t="shared" si="40"/>
        <v>-1943</v>
      </c>
      <c r="M57" s="2"/>
      <c r="N57" s="6">
        <f t="shared" si="41"/>
        <v>-1</v>
      </c>
      <c r="O57" s="11"/>
      <c r="P57" s="7">
        <v>11100</v>
      </c>
      <c r="Q57" s="2"/>
      <c r="R57" s="6">
        <f t="shared" si="42"/>
        <v>0</v>
      </c>
      <c r="S57" s="2"/>
      <c r="T57" s="7">
        <v>15544</v>
      </c>
      <c r="U57" s="2"/>
      <c r="V57" s="6">
        <f t="shared" si="43"/>
        <v>0</v>
      </c>
      <c r="W57" s="2"/>
      <c r="X57" s="7">
        <f t="shared" si="44"/>
        <v>-4444</v>
      </c>
      <c r="Y57" s="2"/>
      <c r="Z57" s="6">
        <f t="shared" si="45"/>
        <v>-0.28589809572825525</v>
      </c>
    </row>
    <row r="58" spans="1:26" s="28" customFormat="1" outlineLevel="1" collapsed="1" x14ac:dyDescent="0.25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0</v>
      </c>
      <c r="E58" s="1"/>
      <c r="F58" s="5">
        <f t="shared" si="38"/>
        <v>0</v>
      </c>
      <c r="G58" s="1"/>
      <c r="H58" s="1">
        <f>SUM(OSRRefH22_9x_0)</f>
        <v>0</v>
      </c>
      <c r="I58" s="1"/>
      <c r="J58" s="5">
        <f t="shared" si="39"/>
        <v>0</v>
      </c>
      <c r="K58" s="1"/>
      <c r="L58" s="1">
        <f t="shared" si="40"/>
        <v>0</v>
      </c>
      <c r="M58" s="1"/>
      <c r="N58" s="5">
        <f t="shared" si="41"/>
        <v>0</v>
      </c>
      <c r="O58" s="14"/>
      <c r="P58" s="1">
        <f>SUM(OSRRefP22_9x_0)</f>
        <v>765.3</v>
      </c>
      <c r="Q58" s="1"/>
      <c r="R58" s="5">
        <f t="shared" si="42"/>
        <v>0</v>
      </c>
      <c r="S58" s="1"/>
      <c r="T58" s="1">
        <f>SUM(OSRRefT22_9x_0)</f>
        <v>0</v>
      </c>
      <c r="U58" s="1"/>
      <c r="V58" s="5">
        <f t="shared" si="43"/>
        <v>0</v>
      </c>
      <c r="W58" s="1"/>
      <c r="X58" s="1">
        <f t="shared" si="44"/>
        <v>765.3</v>
      </c>
      <c r="Y58" s="1"/>
      <c r="Z58" s="5">
        <f t="shared" si="45"/>
        <v>0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223.3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223.3</v>
      </c>
      <c r="Y59" s="2"/>
      <c r="Z59" s="6">
        <f t="shared" si="45"/>
        <v>0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8"/>
        <v>0</v>
      </c>
      <c r="G60" s="2"/>
      <c r="H60" s="7">
        <v>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542</v>
      </c>
      <c r="Q60" s="2"/>
      <c r="R60" s="6">
        <f t="shared" si="42"/>
        <v>0</v>
      </c>
      <c r="S60" s="2"/>
      <c r="T60" s="7">
        <v>0</v>
      </c>
      <c r="U60" s="2"/>
      <c r="V60" s="6">
        <f t="shared" si="43"/>
        <v>0</v>
      </c>
      <c r="W60" s="2"/>
      <c r="X60" s="7">
        <f t="shared" si="44"/>
        <v>542</v>
      </c>
      <c r="Y60" s="2"/>
      <c r="Z60" s="6">
        <f t="shared" si="45"/>
        <v>0</v>
      </c>
    </row>
    <row r="61" spans="1:26" s="28" customFormat="1" outlineLevel="1" collapsed="1" x14ac:dyDescent="0.25">
      <c r="A61" s="29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SUM(OSRRefD22_10x_0)</f>
        <v>0</v>
      </c>
      <c r="E61" s="1"/>
      <c r="F61" s="5">
        <f t="shared" ref="F61:F67" si="46">IF(D$12=0,0,D61/D$12)</f>
        <v>0</v>
      </c>
      <c r="G61" s="1"/>
      <c r="H61" s="1">
        <f>SUM(OSRRefH22_10x_0)</f>
        <v>0</v>
      </c>
      <c r="I61" s="1"/>
      <c r="J61" s="5">
        <f t="shared" ref="J61:J67" si="47">IF(H$12=0,0,H61/H$12)</f>
        <v>0</v>
      </c>
      <c r="K61" s="1"/>
      <c r="L61" s="1">
        <f t="shared" ref="L61:L67" si="48">+D61-H61</f>
        <v>0</v>
      </c>
      <c r="M61" s="1"/>
      <c r="N61" s="5">
        <f t="shared" ref="N61:N67" si="49">IF(H61=0,0,L61/H61)</f>
        <v>0</v>
      </c>
      <c r="O61" s="14"/>
      <c r="P61" s="1">
        <f>SUM(OSRRefP22_10x_0)</f>
        <v>0</v>
      </c>
      <c r="Q61" s="1"/>
      <c r="R61" s="5">
        <f t="shared" ref="R61:R67" si="50">IF(P$12=0,0,P61/P$12)</f>
        <v>0</v>
      </c>
      <c r="S61" s="1"/>
      <c r="T61" s="1">
        <f>SUM(OSRRefT22_10x_0)</f>
        <v>0</v>
      </c>
      <c r="U61" s="1"/>
      <c r="V61" s="5">
        <f t="shared" ref="V61:V67" si="51">IF(T$12=0,0,T61/T$12)</f>
        <v>0</v>
      </c>
      <c r="W61" s="1"/>
      <c r="X61" s="1">
        <f t="shared" ref="X61:X67" si="52">+P61-T61</f>
        <v>0</v>
      </c>
      <c r="Y61" s="1"/>
      <c r="Z61" s="5">
        <f t="shared" ref="Z61:Z67" si="53">IF(T61=0,0,X61/T61)</f>
        <v>0</v>
      </c>
    </row>
    <row r="62" spans="1:26" s="24" customFormat="1" hidden="1" outlineLevel="2" x14ac:dyDescent="0.25">
      <c r="A62" s="27"/>
      <c r="B62" s="11" t="str">
        <f>CONCATENATE("          ", "6259", " - ", "ROYALTY &amp; COMMISSIONS")</f>
        <v xml:space="preserve">          6259 - ROYALTY &amp; COMMISSIONS</v>
      </c>
      <c r="C62" s="11"/>
      <c r="D62" s="7"/>
      <c r="E62" s="2"/>
      <c r="F62" s="6">
        <f t="shared" si="46"/>
        <v>0</v>
      </c>
      <c r="G62" s="2"/>
      <c r="H62" s="7">
        <v>0</v>
      </c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8" customFormat="1" outlineLevel="1" collapsed="1" x14ac:dyDescent="0.25">
      <c r="A63" s="29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SUM(OSRRefD22_11x_0)</f>
        <v>115</v>
      </c>
      <c r="E63" s="1"/>
      <c r="F63" s="5">
        <f t="shared" si="46"/>
        <v>0</v>
      </c>
      <c r="G63" s="1"/>
      <c r="H63" s="1">
        <f>SUM(OSRRefH22_11x_0)</f>
        <v>0</v>
      </c>
      <c r="I63" s="1"/>
      <c r="J63" s="5">
        <f t="shared" si="47"/>
        <v>0</v>
      </c>
      <c r="K63" s="1"/>
      <c r="L63" s="1">
        <f t="shared" si="48"/>
        <v>115</v>
      </c>
      <c r="M63" s="1"/>
      <c r="N63" s="5">
        <f t="shared" si="49"/>
        <v>0</v>
      </c>
      <c r="O63" s="14"/>
      <c r="P63" s="1">
        <f>SUM(OSRRefP22_11x_0)</f>
        <v>575</v>
      </c>
      <c r="Q63" s="1"/>
      <c r="R63" s="5">
        <f t="shared" si="50"/>
        <v>0</v>
      </c>
      <c r="S63" s="1"/>
      <c r="T63" s="1">
        <f>SUM(OSRRefT22_11x_0)</f>
        <v>0</v>
      </c>
      <c r="U63" s="1"/>
      <c r="V63" s="5">
        <f t="shared" si="51"/>
        <v>0</v>
      </c>
      <c r="W63" s="1"/>
      <c r="X63" s="1">
        <f t="shared" si="52"/>
        <v>575</v>
      </c>
      <c r="Y63" s="1"/>
      <c r="Z63" s="5">
        <f t="shared" si="53"/>
        <v>0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7"/>
      <c r="B65" s="11" t="str">
        <f>CONCATENATE("          ", "6284", " - ", "TRASH REMOVAL EXPENSE")</f>
        <v xml:space="preserve">          6284 - TRASH REMOVAL EXPENSE</v>
      </c>
      <c r="C65" s="11"/>
      <c r="D65" s="7">
        <v>115</v>
      </c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115</v>
      </c>
      <c r="M65" s="2"/>
      <c r="N65" s="6">
        <f t="shared" si="49"/>
        <v>0</v>
      </c>
      <c r="O65" s="11"/>
      <c r="P65" s="7">
        <v>575</v>
      </c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575</v>
      </c>
      <c r="Y65" s="2"/>
      <c r="Z65" s="6">
        <f t="shared" si="53"/>
        <v>0</v>
      </c>
    </row>
    <row r="66" spans="1:26" s="24" customFormat="1" hidden="1" outlineLevel="2" x14ac:dyDescent="0.25">
      <c r="A66" s="27"/>
      <c r="B66" s="11" t="str">
        <f>CONCATENATE("          ", "6285", " - ", "JANITORIAL SERVICES")</f>
        <v xml:space="preserve">          6285 - JANITORIAL SERVICES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8" customFormat="1" outlineLevel="1" collapsed="1" x14ac:dyDescent="0.25">
      <c r="A68" s="29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SUM(OSRRefD22_12x_0)</f>
        <v>0</v>
      </c>
      <c r="E68" s="1"/>
      <c r="F68" s="5">
        <f t="shared" ref="F68:F79" si="54">IF(D$12=0,0,D68/D$12)</f>
        <v>0</v>
      </c>
      <c r="G68" s="1"/>
      <c r="H68" s="1">
        <f>SUM(OSRRefH22_12x_0)</f>
        <v>0</v>
      </c>
      <c r="I68" s="1"/>
      <c r="J68" s="5">
        <f t="shared" ref="J68:J79" si="55">IF(H$12=0,0,H68/H$12)</f>
        <v>0</v>
      </c>
      <c r="K68" s="1"/>
      <c r="L68" s="1">
        <f t="shared" ref="L68:L79" si="56">+D68-H68</f>
        <v>0</v>
      </c>
      <c r="M68" s="1"/>
      <c r="N68" s="5">
        <f t="shared" ref="N68:N79" si="57">IF(H68=0,0,L68/H68)</f>
        <v>0</v>
      </c>
      <c r="O68" s="14"/>
      <c r="P68" s="1">
        <f>SUM(OSRRefP22_12x_0)</f>
        <v>0</v>
      </c>
      <c r="Q68" s="1"/>
      <c r="R68" s="5">
        <f t="shared" ref="R68:R79" si="58">IF(P$12=0,0,P68/P$12)</f>
        <v>0</v>
      </c>
      <c r="S68" s="1"/>
      <c r="T68" s="1">
        <f>SUM(OSRRefT22_12x_0)</f>
        <v>0</v>
      </c>
      <c r="U68" s="1"/>
      <c r="V68" s="5">
        <f t="shared" ref="V68:V79" si="59">IF(T$12=0,0,T68/T$12)</f>
        <v>0</v>
      </c>
      <c r="W68" s="1"/>
      <c r="X68" s="1">
        <f t="shared" ref="X68:X79" si="60">+P68-T68</f>
        <v>0</v>
      </c>
      <c r="Y68" s="1"/>
      <c r="Z68" s="5">
        <f t="shared" ref="Z68:Z79" si="61">IF(T68=0,0,X68/T68)</f>
        <v>0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7"/>
      <c r="E69" s="2"/>
      <c r="F69" s="6">
        <f t="shared" si="54"/>
        <v>0</v>
      </c>
      <c r="G69" s="2"/>
      <c r="H69" s="7">
        <v>0</v>
      </c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/>
      <c r="Q69" s="2"/>
      <c r="R69" s="6">
        <f t="shared" si="58"/>
        <v>0</v>
      </c>
      <c r="S69" s="2"/>
      <c r="T69" s="7">
        <v>0</v>
      </c>
      <c r="U69" s="2"/>
      <c r="V69" s="6">
        <f t="shared" si="59"/>
        <v>0</v>
      </c>
      <c r="W69" s="2"/>
      <c r="X69" s="7">
        <f t="shared" si="60"/>
        <v>0</v>
      </c>
      <c r="Y69" s="2"/>
      <c r="Z69" s="6">
        <f t="shared" si="61"/>
        <v>0</v>
      </c>
    </row>
    <row r="70" spans="1:26" s="28" customFormat="1" outlineLevel="1" collapsed="1" x14ac:dyDescent="0.25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SUM(OSRRefD22_13x_0)</f>
        <v>0</v>
      </c>
      <c r="E70" s="1"/>
      <c r="F70" s="5">
        <f t="shared" si="54"/>
        <v>0</v>
      </c>
      <c r="G70" s="1"/>
      <c r="H70" s="1">
        <f>SUM(OSRRefH22_13x_0)</f>
        <v>0</v>
      </c>
      <c r="I70" s="1"/>
      <c r="J70" s="5">
        <f t="shared" si="55"/>
        <v>0</v>
      </c>
      <c r="K70" s="1"/>
      <c r="L70" s="1">
        <f t="shared" si="56"/>
        <v>0</v>
      </c>
      <c r="M70" s="1"/>
      <c r="N70" s="5">
        <f t="shared" si="57"/>
        <v>0</v>
      </c>
      <c r="O70" s="14"/>
      <c r="P70" s="1">
        <f>SUM(OSRRefP22_13x_0)</f>
        <v>72</v>
      </c>
      <c r="Q70" s="1"/>
      <c r="R70" s="5">
        <f t="shared" si="58"/>
        <v>0</v>
      </c>
      <c r="S70" s="1"/>
      <c r="T70" s="1">
        <f>SUM(OSRRefT22_13x_0)</f>
        <v>0</v>
      </c>
      <c r="U70" s="1"/>
      <c r="V70" s="5">
        <f t="shared" si="59"/>
        <v>0</v>
      </c>
      <c r="W70" s="1"/>
      <c r="X70" s="1">
        <f t="shared" si="60"/>
        <v>72</v>
      </c>
      <c r="Y70" s="1"/>
      <c r="Z70" s="5">
        <f t="shared" si="61"/>
        <v>0</v>
      </c>
    </row>
    <row r="71" spans="1:26" s="24" customFormat="1" hidden="1" outlineLevel="2" x14ac:dyDescent="0.25">
      <c r="A71" s="27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0</v>
      </c>
      <c r="Y71" s="2"/>
      <c r="Z71" s="6">
        <f t="shared" si="61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>
        <v>72</v>
      </c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72</v>
      </c>
      <c r="Y72" s="2"/>
      <c r="Z72" s="6">
        <f t="shared" si="61"/>
        <v>0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25">
      <c r="A77" s="27"/>
      <c r="B77" s="11" t="str">
        <f>CONCATENATE("          ", "6246", " - ", "REPLACEMENTS")</f>
        <v xml:space="preserve">          6246 - REPLACEMENTS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4"/>
        <v>0</v>
      </c>
      <c r="G78" s="2"/>
      <c r="H78" s="7">
        <v>0</v>
      </c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4" customFormat="1" hidden="1" outlineLevel="2" x14ac:dyDescent="0.25">
      <c r="A79" s="27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0</v>
      </c>
      <c r="U79" s="2"/>
      <c r="V79" s="6">
        <f t="shared" si="59"/>
        <v>0</v>
      </c>
      <c r="W79" s="2"/>
      <c r="X79" s="7">
        <f t="shared" si="60"/>
        <v>0</v>
      </c>
      <c r="Y79" s="2"/>
      <c r="Z79" s="6">
        <f t="shared" si="61"/>
        <v>0</v>
      </c>
    </row>
    <row r="80" spans="1:26" s="28" customFormat="1" outlineLevel="1" collapsed="1" x14ac:dyDescent="0.25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SUM(OSRRefD22_14x_0)</f>
        <v>0</v>
      </c>
      <c r="E80" s="1"/>
      <c r="F80" s="5">
        <f t="shared" ref="F80:F87" si="62">IF(D$12=0,0,D80/D$12)</f>
        <v>0</v>
      </c>
      <c r="G80" s="1"/>
      <c r="H80" s="1">
        <f>SUM(OSRRefH22_14x_0)</f>
        <v>0</v>
      </c>
      <c r="I80" s="1"/>
      <c r="J80" s="5">
        <f t="shared" ref="J80:J87" si="63">IF(H$12=0,0,H80/H$12)</f>
        <v>0</v>
      </c>
      <c r="K80" s="1"/>
      <c r="L80" s="1">
        <f t="shared" ref="L80:L87" si="64">+D80-H80</f>
        <v>0</v>
      </c>
      <c r="M80" s="1"/>
      <c r="N80" s="5">
        <f t="shared" ref="N80:N87" si="65">IF(H80=0,0,L80/H80)</f>
        <v>0</v>
      </c>
      <c r="O80" s="14"/>
      <c r="P80" s="1">
        <f>SUM(OSRRefP22_14x_0)</f>
        <v>77.430000000000007</v>
      </c>
      <c r="Q80" s="1"/>
      <c r="R80" s="5">
        <f t="shared" ref="R80:R87" si="66">IF(P$12=0,0,P80/P$12)</f>
        <v>0</v>
      </c>
      <c r="S80" s="1"/>
      <c r="T80" s="1">
        <f>SUM(OSRRefT22_14x_0)</f>
        <v>0</v>
      </c>
      <c r="U80" s="1"/>
      <c r="V80" s="5">
        <f t="shared" ref="V80:V87" si="67">IF(T$12=0,0,T80/T$12)</f>
        <v>0</v>
      </c>
      <c r="W80" s="1"/>
      <c r="X80" s="1">
        <f t="shared" ref="X80:X87" si="68">+P80-T80</f>
        <v>77.430000000000007</v>
      </c>
      <c r="Y80" s="1"/>
      <c r="Z80" s="5">
        <f t="shared" ref="Z80:Z87" si="69">IF(T80=0,0,X80/T80)</f>
        <v>0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7"/>
      <c r="E81" s="2"/>
      <c r="F81" s="6">
        <f t="shared" si="62"/>
        <v>0</v>
      </c>
      <c r="G81" s="2"/>
      <c r="H81" s="7">
        <v>0</v>
      </c>
      <c r="I81" s="2"/>
      <c r="J81" s="6">
        <f t="shared" si="63"/>
        <v>0</v>
      </c>
      <c r="K81" s="2"/>
      <c r="L81" s="7">
        <f t="shared" si="64"/>
        <v>0</v>
      </c>
      <c r="M81" s="2"/>
      <c r="N81" s="6">
        <f t="shared" si="65"/>
        <v>0</v>
      </c>
      <c r="O81" s="11"/>
      <c r="P81" s="7">
        <v>77.430000000000007</v>
      </c>
      <c r="Q81" s="2"/>
      <c r="R81" s="6">
        <f t="shared" si="66"/>
        <v>0</v>
      </c>
      <c r="S81" s="2"/>
      <c r="T81" s="7">
        <v>0</v>
      </c>
      <c r="U81" s="2"/>
      <c r="V81" s="6">
        <f t="shared" si="67"/>
        <v>0</v>
      </c>
      <c r="W81" s="2"/>
      <c r="X81" s="7">
        <f t="shared" si="68"/>
        <v>77.430000000000007</v>
      </c>
      <c r="Y81" s="2"/>
      <c r="Z81" s="6">
        <f t="shared" si="69"/>
        <v>0</v>
      </c>
    </row>
    <row r="82" spans="1:26" s="28" customFormat="1" outlineLevel="1" collapsed="1" x14ac:dyDescent="0.25">
      <c r="A82" s="29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SUM(OSRRefD22_15x_0)</f>
        <v>0</v>
      </c>
      <c r="E82" s="1"/>
      <c r="F82" s="5">
        <f t="shared" si="62"/>
        <v>0</v>
      </c>
      <c r="G82" s="1"/>
      <c r="H82" s="1">
        <f>SUM(OSRRefH22_15x_0)</f>
        <v>0</v>
      </c>
      <c r="I82" s="1"/>
      <c r="J82" s="5">
        <f t="shared" si="63"/>
        <v>0</v>
      </c>
      <c r="K82" s="1"/>
      <c r="L82" s="1">
        <f t="shared" si="64"/>
        <v>0</v>
      </c>
      <c r="M82" s="1"/>
      <c r="N82" s="5">
        <f t="shared" si="65"/>
        <v>0</v>
      </c>
      <c r="O82" s="14"/>
      <c r="P82" s="1">
        <f>SUM(OSRRefP22_15x_0)</f>
        <v>0</v>
      </c>
      <c r="Q82" s="1"/>
      <c r="R82" s="5">
        <f t="shared" si="66"/>
        <v>0</v>
      </c>
      <c r="S82" s="1"/>
      <c r="T82" s="1">
        <f>SUM(OSRRefT22_15x_0)</f>
        <v>0</v>
      </c>
      <c r="U82" s="1"/>
      <c r="V82" s="5">
        <f t="shared" si="67"/>
        <v>0</v>
      </c>
      <c r="W82" s="1"/>
      <c r="X82" s="1">
        <f t="shared" si="68"/>
        <v>0</v>
      </c>
      <c r="Y82" s="1"/>
      <c r="Z82" s="5">
        <f t="shared" si="69"/>
        <v>0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62"/>
        <v>0</v>
      </c>
      <c r="G83" s="2"/>
      <c r="H83" s="7"/>
      <c r="I83" s="2"/>
      <c r="J83" s="6">
        <f t="shared" si="63"/>
        <v>0</v>
      </c>
      <c r="K83" s="2"/>
      <c r="L83" s="7">
        <f t="shared" si="64"/>
        <v>0</v>
      </c>
      <c r="M83" s="2"/>
      <c r="N83" s="6">
        <f t="shared" si="65"/>
        <v>0</v>
      </c>
      <c r="O83" s="11"/>
      <c r="P83" s="7"/>
      <c r="Q83" s="2"/>
      <c r="R83" s="6">
        <f t="shared" si="66"/>
        <v>0</v>
      </c>
      <c r="S83" s="2"/>
      <c r="T83" s="7">
        <v>0</v>
      </c>
      <c r="U83" s="2"/>
      <c r="V83" s="6">
        <f t="shared" si="67"/>
        <v>0</v>
      </c>
      <c r="W83" s="2"/>
      <c r="X83" s="7">
        <f t="shared" si="68"/>
        <v>0</v>
      </c>
      <c r="Y83" s="2"/>
      <c r="Z83" s="6">
        <f t="shared" si="69"/>
        <v>0</v>
      </c>
    </row>
    <row r="84" spans="1:26" s="28" customFormat="1" outlineLevel="1" collapsed="1" x14ac:dyDescent="0.25">
      <c r="A84" s="29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SUM(OSRRefD22_16x_0)</f>
        <v>0</v>
      </c>
      <c r="E84" s="1"/>
      <c r="F84" s="5">
        <f t="shared" si="62"/>
        <v>0</v>
      </c>
      <c r="G84" s="1"/>
      <c r="H84" s="1">
        <f>SUM(OSRRefH22_16x_0)</f>
        <v>0</v>
      </c>
      <c r="I84" s="1"/>
      <c r="J84" s="5">
        <f t="shared" si="63"/>
        <v>0</v>
      </c>
      <c r="K84" s="1"/>
      <c r="L84" s="1">
        <f t="shared" si="64"/>
        <v>0</v>
      </c>
      <c r="M84" s="1"/>
      <c r="N84" s="5">
        <f t="shared" si="65"/>
        <v>0</v>
      </c>
      <c r="O84" s="14"/>
      <c r="P84" s="1">
        <f>SUM(OSRRefP22_16x_0)</f>
        <v>0</v>
      </c>
      <c r="Q84" s="1"/>
      <c r="R84" s="5">
        <f t="shared" si="66"/>
        <v>0</v>
      </c>
      <c r="S84" s="1"/>
      <c r="T84" s="1">
        <f>SUM(OSRRefT22_16x_0)</f>
        <v>0</v>
      </c>
      <c r="U84" s="1"/>
      <c r="V84" s="5">
        <f t="shared" si="67"/>
        <v>0</v>
      </c>
      <c r="W84" s="1"/>
      <c r="X84" s="1">
        <f t="shared" si="68"/>
        <v>0</v>
      </c>
      <c r="Y84" s="1"/>
      <c r="Z84" s="5">
        <f t="shared" si="69"/>
        <v>0</v>
      </c>
    </row>
    <row r="85" spans="1:26" s="24" customFormat="1" hidden="1" outlineLevel="2" x14ac:dyDescent="0.25">
      <c r="A85" s="27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62"/>
        <v>0</v>
      </c>
      <c r="G85" s="2"/>
      <c r="H85" s="7"/>
      <c r="I85" s="2"/>
      <c r="J85" s="6">
        <f t="shared" si="63"/>
        <v>0</v>
      </c>
      <c r="K85" s="2"/>
      <c r="L85" s="7">
        <f t="shared" si="64"/>
        <v>0</v>
      </c>
      <c r="M85" s="2"/>
      <c r="N85" s="6">
        <f t="shared" si="65"/>
        <v>0</v>
      </c>
      <c r="O85" s="11"/>
      <c r="P85" s="7"/>
      <c r="Q85" s="2"/>
      <c r="R85" s="6">
        <f t="shared" si="66"/>
        <v>0</v>
      </c>
      <c r="S85" s="2"/>
      <c r="T85" s="7">
        <v>0</v>
      </c>
      <c r="U85" s="2"/>
      <c r="V85" s="6">
        <f t="shared" si="67"/>
        <v>0</v>
      </c>
      <c r="W85" s="2"/>
      <c r="X85" s="7">
        <f t="shared" si="68"/>
        <v>0</v>
      </c>
      <c r="Y85" s="2"/>
      <c r="Z85" s="6">
        <f t="shared" si="69"/>
        <v>0</v>
      </c>
    </row>
    <row r="86" spans="1:26" s="28" customFormat="1" outlineLevel="1" collapsed="1" x14ac:dyDescent="0.25">
      <c r="A86" s="29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SUM(OSRRefD22_17x_0)</f>
        <v>348</v>
      </c>
      <c r="E86" s="1"/>
      <c r="F86" s="5">
        <f t="shared" si="62"/>
        <v>0</v>
      </c>
      <c r="G86" s="1"/>
      <c r="H86" s="1">
        <f>SUM(OSRRefH22_17x_0)</f>
        <v>0</v>
      </c>
      <c r="I86" s="1"/>
      <c r="J86" s="5">
        <f t="shared" si="63"/>
        <v>0</v>
      </c>
      <c r="K86" s="1"/>
      <c r="L86" s="1">
        <f t="shared" si="64"/>
        <v>348</v>
      </c>
      <c r="M86" s="1"/>
      <c r="N86" s="5">
        <f t="shared" si="65"/>
        <v>0</v>
      </c>
      <c r="O86" s="14"/>
      <c r="P86" s="1">
        <f>SUM(OSRRefP22_17x_0)</f>
        <v>1740</v>
      </c>
      <c r="Q86" s="1"/>
      <c r="R86" s="5">
        <f t="shared" si="66"/>
        <v>0</v>
      </c>
      <c r="S86" s="1"/>
      <c r="T86" s="1">
        <f>SUM(OSRRefT22_17x_0)</f>
        <v>0</v>
      </c>
      <c r="U86" s="1"/>
      <c r="V86" s="5">
        <f t="shared" si="67"/>
        <v>0</v>
      </c>
      <c r="W86" s="1"/>
      <c r="X86" s="1">
        <f t="shared" si="68"/>
        <v>1740</v>
      </c>
      <c r="Y86" s="1"/>
      <c r="Z86" s="5">
        <f t="shared" si="69"/>
        <v>0</v>
      </c>
    </row>
    <row r="87" spans="1:26" s="24" customFormat="1" hidden="1" outlineLevel="2" x14ac:dyDescent="0.25">
      <c r="A87" s="27"/>
      <c r="B87" s="11" t="str">
        <f>CONCATENATE("          ", "6274", " - ", "UTILITIES")</f>
        <v xml:space="preserve">          6274 - UTILITIES</v>
      </c>
      <c r="C87" s="11"/>
      <c r="D87" s="7">
        <v>348</v>
      </c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348</v>
      </c>
      <c r="M87" s="2"/>
      <c r="N87" s="6">
        <f t="shared" si="65"/>
        <v>0</v>
      </c>
      <c r="O87" s="11"/>
      <c r="P87" s="7">
        <v>1740</v>
      </c>
      <c r="Q87" s="2"/>
      <c r="R87" s="6">
        <f t="shared" si="66"/>
        <v>0</v>
      </c>
      <c r="S87" s="2"/>
      <c r="T87" s="7">
        <v>0</v>
      </c>
      <c r="U87" s="2"/>
      <c r="V87" s="6">
        <f t="shared" si="67"/>
        <v>0</v>
      </c>
      <c r="W87" s="2"/>
      <c r="X87" s="7">
        <f t="shared" si="68"/>
        <v>1740</v>
      </c>
      <c r="Y87" s="2"/>
      <c r="Z87" s="6">
        <f t="shared" si="69"/>
        <v>0</v>
      </c>
    </row>
    <row r="88" spans="1:26" s="58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6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3</v>
      </c>
      <c r="C91" s="25"/>
      <c r="D91" s="19">
        <f>+D20-D22+D89</f>
        <v>-3326.46</v>
      </c>
      <c r="E91" s="13"/>
      <c r="F91" s="21">
        <f>IF(D$12=0,0,D91/D$12)</f>
        <v>0</v>
      </c>
      <c r="G91" s="13"/>
      <c r="H91" s="19">
        <f>+H20-H22+H89</f>
        <v>-7384.333333333333</v>
      </c>
      <c r="I91" s="13"/>
      <c r="J91" s="21">
        <f>IF(H$12=0,0,H91/H$12)</f>
        <v>0</v>
      </c>
      <c r="K91" s="15"/>
      <c r="L91" s="19">
        <f>+D91-H91</f>
        <v>4057.873333333333</v>
      </c>
      <c r="M91" s="15"/>
      <c r="N91" s="21">
        <f>IF(H91=0,0,L91/H91)</f>
        <v>-0.54952466934500965</v>
      </c>
      <c r="O91" s="26"/>
      <c r="P91" s="19">
        <f>+P20-P22+P89</f>
        <v>-54212.51</v>
      </c>
      <c r="Q91" s="13"/>
      <c r="R91" s="21">
        <f>IF(P$12=0,0,P91/P$12)</f>
        <v>0</v>
      </c>
      <c r="S91" s="13"/>
      <c r="T91" s="19">
        <f>+T20-T22+T89</f>
        <v>-59365.666666666664</v>
      </c>
      <c r="U91" s="13"/>
      <c r="V91" s="21">
        <f>IF(T$12=0,0,T91/T$12)</f>
        <v>0</v>
      </c>
      <c r="W91" s="15"/>
      <c r="X91" s="19">
        <f>+P91-T91</f>
        <v>5153.1566666666622</v>
      </c>
      <c r="Y91" s="15"/>
      <c r="Z91" s="21">
        <f>IF(T91=0,0,X91/T91)</f>
        <v>-8.6803651942480714E-2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4</v>
      </c>
      <c r="C95" s="25"/>
      <c r="D95" s="34">
        <f>+D91-D93</f>
        <v>-3326.46</v>
      </c>
      <c r="E95" s="13"/>
      <c r="F95" s="30">
        <f>IF(D$12=0,0,D95/D$12)</f>
        <v>0</v>
      </c>
      <c r="G95" s="13"/>
      <c r="H95" s="34">
        <f>+H91-H93</f>
        <v>-7384.333333333333</v>
      </c>
      <c r="I95" s="13"/>
      <c r="J95" s="30">
        <f>IF(H$12=0,0,H95/H$12)</f>
        <v>0</v>
      </c>
      <c r="K95" s="15"/>
      <c r="L95" s="34">
        <f>D95-H95</f>
        <v>4057.873333333333</v>
      </c>
      <c r="M95" s="15"/>
      <c r="N95" s="30">
        <f>IF(H95=0,0,L95/H95)</f>
        <v>-0.54952466934500965</v>
      </c>
      <c r="O95" s="26"/>
      <c r="P95" s="34">
        <f>+P91-P93</f>
        <v>-54212.51</v>
      </c>
      <c r="Q95" s="13"/>
      <c r="R95" s="30">
        <f>IF(P$12=0,0,P95/P$12)</f>
        <v>0</v>
      </c>
      <c r="S95" s="13"/>
      <c r="T95" s="34">
        <f>+T91-T93</f>
        <v>-59365.666666666664</v>
      </c>
      <c r="U95" s="13"/>
      <c r="V95" s="30">
        <f>IF(T$12=0,0,T95/T$12)</f>
        <v>0</v>
      </c>
      <c r="W95" s="15"/>
      <c r="X95" s="34">
        <f>P95-T95</f>
        <v>5153.1566666666622</v>
      </c>
      <c r="Y95" s="15"/>
      <c r="Z95" s="30">
        <f>IF(T95=0,0,X95/T95)</f>
        <v>-8.6803651942480714E-2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5</v>
      </c>
      <c r="C98" s="25"/>
      <c r="D98" s="35">
        <f>SUM(D95:D97)</f>
        <v>-3326.46</v>
      </c>
      <c r="E98" s="13"/>
      <c r="F98" s="31">
        <f>IF(D$12=0,0,D98/D$12)</f>
        <v>0</v>
      </c>
      <c r="G98" s="13"/>
      <c r="H98" s="35">
        <f>SUM(H95:H97)</f>
        <v>-7384.333333333333</v>
      </c>
      <c r="I98" s="13"/>
      <c r="J98" s="31">
        <f>IF(H$12=0,0,H98/H$12)</f>
        <v>0</v>
      </c>
      <c r="K98" s="15"/>
      <c r="L98" s="35">
        <f>+D98-H98</f>
        <v>4057.873333333333</v>
      </c>
      <c r="M98" s="15"/>
      <c r="N98" s="31">
        <f>IF(H98=0,0,L98/H98)</f>
        <v>-0.54952466934500965</v>
      </c>
      <c r="O98" s="26"/>
      <c r="P98" s="35">
        <f>SUM(P95:P97)</f>
        <v>-54212.51</v>
      </c>
      <c r="Q98" s="13"/>
      <c r="R98" s="31">
        <f>IF(P$12=0,0,P98/P$12)</f>
        <v>0</v>
      </c>
      <c r="S98" s="13"/>
      <c r="T98" s="35">
        <f>SUM(T95:T97)</f>
        <v>-59365.666666666664</v>
      </c>
      <c r="U98" s="13"/>
      <c r="V98" s="31">
        <f>IF(T$12=0,0,T98/T$12)</f>
        <v>0</v>
      </c>
      <c r="W98" s="15"/>
      <c r="X98" s="35">
        <f>+P98-T98</f>
        <v>5153.1566666666622</v>
      </c>
      <c r="Y98" s="15"/>
      <c r="Z98" s="31">
        <f>IF(T98=0,0,X98/T98)</f>
        <v>-8.6803651942480714E-2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3">
        <v>44267.672021643521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2" t="s">
        <v>314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7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119.55</v>
      </c>
      <c r="E18" s="20"/>
      <c r="F18" s="33">
        <f t="shared" ref="F18:F28" si="0">IF(D$12=0,0,D18/D$12)</f>
        <v>0</v>
      </c>
      <c r="G18" s="20"/>
      <c r="H18" s="20">
        <f>SUM(OSRRefH22x_0)</f>
        <v>435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-315.45</v>
      </c>
      <c r="M18" s="4"/>
      <c r="N18" s="33">
        <f t="shared" ref="N18:N28" si="3">IF(H18=0,0,L18/H18)</f>
        <v>-0.72517241379310338</v>
      </c>
      <c r="O18" s="10"/>
      <c r="P18" s="20">
        <f>SUM(OSRRefP22x_0)</f>
        <v>1983.6</v>
      </c>
      <c r="Q18" s="20"/>
      <c r="R18" s="33">
        <f t="shared" ref="R18:R28" si="4">IF(P$12=0,0,P18/P$12)</f>
        <v>0</v>
      </c>
      <c r="S18" s="20"/>
      <c r="T18" s="20">
        <f>SUM(OSRRefT22x_0)</f>
        <v>3480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-1496.4</v>
      </c>
      <c r="Y18" s="4"/>
      <c r="Z18" s="33">
        <f t="shared" ref="Z18:Z28" si="7">IF(T18=0,0,X18/T18)</f>
        <v>-0.43000000000000005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8" customFormat="1" outlineLevel="1" collapsed="1" x14ac:dyDescent="0.25">
      <c r="A21" s="29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956.4</v>
      </c>
      <c r="Q21" s="1"/>
      <c r="R21" s="5">
        <f t="shared" si="4"/>
        <v>0</v>
      </c>
      <c r="S21" s="1"/>
      <c r="T21" s="1">
        <f>SUM(OSRRefT22_1x_0)</f>
        <v>3480</v>
      </c>
      <c r="U21" s="1"/>
      <c r="V21" s="5">
        <f t="shared" si="5"/>
        <v>0</v>
      </c>
      <c r="W21" s="1"/>
      <c r="X21" s="1">
        <f t="shared" si="6"/>
        <v>-2523.6</v>
      </c>
      <c r="Y21" s="1"/>
      <c r="Z21" s="5">
        <f t="shared" si="7"/>
        <v>-0.72517241379310338</v>
      </c>
    </row>
    <row r="22" spans="1:26" s="24" customFormat="1" hidden="1" outlineLevel="2" x14ac:dyDescent="0.25">
      <c r="A22" s="27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956.4</v>
      </c>
      <c r="Q22" s="2"/>
      <c r="R22" s="6">
        <f t="shared" si="4"/>
        <v>0</v>
      </c>
      <c r="S22" s="2"/>
      <c r="T22" s="7">
        <v>3480</v>
      </c>
      <c r="U22" s="2"/>
      <c r="V22" s="6">
        <f t="shared" si="5"/>
        <v>0</v>
      </c>
      <c r="W22" s="2"/>
      <c r="X22" s="7">
        <f t="shared" si="6"/>
        <v>-2523.6</v>
      </c>
      <c r="Y22" s="2"/>
      <c r="Z22" s="6">
        <f t="shared" si="7"/>
        <v>-0.72517241379310338</v>
      </c>
    </row>
    <row r="23" spans="1:26" s="28" customFormat="1" outlineLevel="1" collapsed="1" x14ac:dyDescent="0.25">
      <c r="A23" s="29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8" customFormat="1" outlineLevel="1" collapsed="1" x14ac:dyDescent="0.25">
      <c r="A25" s="29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217.18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217.18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217.18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217.18</v>
      </c>
      <c r="Y26" s="2"/>
      <c r="Z26" s="6">
        <f t="shared" si="7"/>
        <v>0</v>
      </c>
    </row>
    <row r="27" spans="1:26" s="28" customFormat="1" outlineLevel="1" collapsed="1" x14ac:dyDescent="0.25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7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58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3</v>
      </c>
      <c r="C32" s="25"/>
      <c r="D32" s="19">
        <f>+D16-D18+D30</f>
        <v>-119.55</v>
      </c>
      <c r="E32" s="13"/>
      <c r="F32" s="21">
        <f>IF(D$12=0,0,D32/D$12)</f>
        <v>0</v>
      </c>
      <c r="G32" s="13"/>
      <c r="H32" s="19">
        <f>+H16-H18+H30</f>
        <v>-435</v>
      </c>
      <c r="I32" s="13"/>
      <c r="J32" s="21">
        <f>IF(H$12=0,0,H32/H$12)</f>
        <v>0</v>
      </c>
      <c r="K32" s="15"/>
      <c r="L32" s="19">
        <f>+D32-H32</f>
        <v>315.45</v>
      </c>
      <c r="M32" s="15"/>
      <c r="N32" s="21">
        <f>IF(H32=0,0,L32/H32)</f>
        <v>-0.72517241379310338</v>
      </c>
      <c r="O32" s="26"/>
      <c r="P32" s="19">
        <f>+P16-P18+P30</f>
        <v>-1983.6</v>
      </c>
      <c r="Q32" s="13"/>
      <c r="R32" s="21">
        <f>IF(P$12=0,0,P32/P$12)</f>
        <v>0</v>
      </c>
      <c r="S32" s="13"/>
      <c r="T32" s="19">
        <f>+T16-T18+T30</f>
        <v>-3480</v>
      </c>
      <c r="U32" s="13"/>
      <c r="V32" s="21">
        <f>IF(T$12=0,0,T32/T$12)</f>
        <v>0</v>
      </c>
      <c r="W32" s="15"/>
      <c r="X32" s="19">
        <f>+P32-T32</f>
        <v>1496.4</v>
      </c>
      <c r="Y32" s="15"/>
      <c r="Z32" s="21">
        <f>IF(T32=0,0,X32/T32)</f>
        <v>-0.43000000000000005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4</v>
      </c>
      <c r="C36" s="25"/>
      <c r="D36" s="34">
        <f>+D32-D34</f>
        <v>-119.55</v>
      </c>
      <c r="E36" s="13"/>
      <c r="F36" s="30">
        <f>IF(D$12=0,0,D36/D$12)</f>
        <v>0</v>
      </c>
      <c r="G36" s="13"/>
      <c r="H36" s="34">
        <f>+H32-H34</f>
        <v>-435</v>
      </c>
      <c r="I36" s="13"/>
      <c r="J36" s="30">
        <f>IF(H$12=0,0,H36/H$12)</f>
        <v>0</v>
      </c>
      <c r="K36" s="15"/>
      <c r="L36" s="34">
        <f>D36-H36</f>
        <v>315.45</v>
      </c>
      <c r="M36" s="15"/>
      <c r="N36" s="30">
        <f>IF(H36=0,0,L36/H36)</f>
        <v>-0.72517241379310338</v>
      </c>
      <c r="O36" s="26"/>
      <c r="P36" s="34">
        <f>+P32-P34</f>
        <v>-1983.6</v>
      </c>
      <c r="Q36" s="13"/>
      <c r="R36" s="30">
        <f>IF(P$12=0,0,P36/P$12)</f>
        <v>0</v>
      </c>
      <c r="S36" s="13"/>
      <c r="T36" s="34">
        <f>+T32-T34</f>
        <v>-3480</v>
      </c>
      <c r="U36" s="13"/>
      <c r="V36" s="30">
        <f>IF(T$12=0,0,T36/T$12)</f>
        <v>0</v>
      </c>
      <c r="W36" s="15"/>
      <c r="X36" s="34">
        <f>P36-T36</f>
        <v>1496.4</v>
      </c>
      <c r="Y36" s="15"/>
      <c r="Z36" s="30">
        <f>IF(T36=0,0,X36/T36)</f>
        <v>-0.43000000000000005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5</v>
      </c>
      <c r="C39" s="25"/>
      <c r="D39" s="35">
        <f>SUM(D36:D38)</f>
        <v>-119.55</v>
      </c>
      <c r="E39" s="13"/>
      <c r="F39" s="31">
        <f>IF(D$12=0,0,D39/D$12)</f>
        <v>0</v>
      </c>
      <c r="G39" s="13"/>
      <c r="H39" s="35">
        <f>SUM(H36:H38)</f>
        <v>-435</v>
      </c>
      <c r="I39" s="13"/>
      <c r="J39" s="31">
        <f>IF(H$12=0,0,H39/H$12)</f>
        <v>0</v>
      </c>
      <c r="K39" s="15"/>
      <c r="L39" s="35">
        <f>+D39-H39</f>
        <v>315.45</v>
      </c>
      <c r="M39" s="15"/>
      <c r="N39" s="31">
        <f>IF(H39=0,0,L39/H39)</f>
        <v>-0.72517241379310338</v>
      </c>
      <c r="O39" s="26"/>
      <c r="P39" s="35">
        <f>SUM(P36:P38)</f>
        <v>-1983.6</v>
      </c>
      <c r="Q39" s="13"/>
      <c r="R39" s="31">
        <f>IF(P$12=0,0,P39/P$12)</f>
        <v>0</v>
      </c>
      <c r="S39" s="13"/>
      <c r="T39" s="35">
        <f>SUM(T36:T38)</f>
        <v>-3480</v>
      </c>
      <c r="U39" s="13"/>
      <c r="V39" s="31">
        <f>IF(T$12=0,0,T39/T$12)</f>
        <v>0</v>
      </c>
      <c r="W39" s="15"/>
      <c r="X39" s="35">
        <f>+P39-T39</f>
        <v>1496.4</v>
      </c>
      <c r="Y39" s="15"/>
      <c r="Z39" s="31">
        <f>IF(T39=0,0,X39/T39)</f>
        <v>-0.43000000000000005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3">
        <v>44267.672032870367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62" t="s">
        <v>314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7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","408", " - ", "Nugget Express")</f>
        <v>Department 408 - Nugget Express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5"/>
      <c r="L22" s="19">
        <f>+D22-H22</f>
        <v>0</v>
      </c>
      <c r="M22" s="15"/>
      <c r="N22" s="21">
        <f>IF(H22=0,0,L22/H22)</f>
        <v>0</v>
      </c>
      <c r="O22" s="26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5"/>
      <c r="X22" s="19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5</v>
      </c>
      <c r="C29" s="25"/>
      <c r="D29" s="35">
        <f>SUM(D26:D28)</f>
        <v>0</v>
      </c>
      <c r="E29" s="13"/>
      <c r="F29" s="31">
        <f>IF(D$12=0,0,D29/D$12)</f>
        <v>0</v>
      </c>
      <c r="G29" s="13"/>
      <c r="H29" s="35">
        <f>SUM(H26:H28)</f>
        <v>0</v>
      </c>
      <c r="I29" s="13"/>
      <c r="J29" s="31">
        <f>IF(H$12=0,0,H29/H$12)</f>
        <v>0</v>
      </c>
      <c r="K29" s="15"/>
      <c r="L29" s="35">
        <f>+D29-H29</f>
        <v>0</v>
      </c>
      <c r="M29" s="15"/>
      <c r="N29" s="31">
        <f>IF(H29=0,0,L29/H29)</f>
        <v>0</v>
      </c>
      <c r="O29" s="26"/>
      <c r="P29" s="35">
        <f>SUM(P26:P28)</f>
        <v>0</v>
      </c>
      <c r="Q29" s="13"/>
      <c r="R29" s="31">
        <f>IF(P$12=0,0,P29/P$12)</f>
        <v>0</v>
      </c>
      <c r="S29" s="13"/>
      <c r="T29" s="35">
        <f>SUM(T26:T28)</f>
        <v>0</v>
      </c>
      <c r="U29" s="13"/>
      <c r="V29" s="31">
        <f>IF(T$12=0,0,T29/T$12)</f>
        <v>0</v>
      </c>
      <c r="W29" s="15"/>
      <c r="X29" s="35">
        <f>+P29-T29</f>
        <v>0</v>
      </c>
      <c r="Y29" s="15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3">
        <v>44267.672045868057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62" t="s">
        <v>314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35083.659999999996</v>
      </c>
      <c r="E18" s="20"/>
      <c r="F18" s="33">
        <f t="shared" ref="F18:F28" si="0">IF(D$12=0,0,D18/D$12)</f>
        <v>0</v>
      </c>
      <c r="G18" s="20"/>
      <c r="H18" s="20">
        <f>SUM(OSRRefH22x_0)</f>
        <v>17793.461538461539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17290.198461538457</v>
      </c>
      <c r="M18" s="4"/>
      <c r="N18" s="33">
        <f t="shared" ref="N18:N28" si="3">IF(H18=0,0,L18/H18)</f>
        <v>0.9717164040377837</v>
      </c>
      <c r="O18" s="10"/>
      <c r="P18" s="20">
        <f>SUM(OSRRefP22x_0)</f>
        <v>224936.50000000006</v>
      </c>
      <c r="Q18" s="20"/>
      <c r="R18" s="33">
        <f t="shared" ref="R18:R28" si="4">IF(P$12=0,0,P18/P$12)</f>
        <v>0</v>
      </c>
      <c r="S18" s="20"/>
      <c r="T18" s="20">
        <f>SUM(OSRRefT22x_0)</f>
        <v>143419.53846153847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81516.96153846159</v>
      </c>
      <c r="Y18" s="4"/>
      <c r="Z18" s="33">
        <f t="shared" ref="Z18:Z28" si="7">IF(T18=0,0,X18/T18)</f>
        <v>0.56838114536480955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5593.32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2579.8584615384598</v>
      </c>
      <c r="M19" s="1"/>
      <c r="N19" s="5">
        <f t="shared" si="3"/>
        <v>0.85611129546904818</v>
      </c>
      <c r="O19" s="14"/>
      <c r="P19" s="1">
        <f>SUM(OSRRefP22_0x_0)</f>
        <v>47967.13</v>
      </c>
      <c r="Q19" s="1"/>
      <c r="R19" s="5">
        <f t="shared" si="4"/>
        <v>0</v>
      </c>
      <c r="S19" s="1"/>
      <c r="T19" s="1">
        <f>SUM(OSRRefT22_0x_0)</f>
        <v>25066.538461538461</v>
      </c>
      <c r="U19" s="1"/>
      <c r="V19" s="5">
        <f t="shared" si="5"/>
        <v>0</v>
      </c>
      <c r="W19" s="1"/>
      <c r="X19" s="1">
        <f t="shared" si="6"/>
        <v>22900.591538461536</v>
      </c>
      <c r="Y19" s="1"/>
      <c r="Z19" s="5">
        <f t="shared" si="7"/>
        <v>0.91359210102342991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852.54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852.54</v>
      </c>
      <c r="M20" s="2"/>
      <c r="N20" s="6">
        <f t="shared" si="3"/>
        <v>0</v>
      </c>
      <c r="O20" s="11"/>
      <c r="P20" s="7">
        <v>7041.17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7041.17</v>
      </c>
      <c r="Y20" s="2"/>
      <c r="Z20" s="6">
        <f t="shared" si="7"/>
        <v>0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36.78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36.78</v>
      </c>
      <c r="M21" s="2"/>
      <c r="N21" s="6">
        <f t="shared" si="3"/>
        <v>0</v>
      </c>
      <c r="O21" s="11"/>
      <c r="P21" s="7">
        <v>440.3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440.3</v>
      </c>
      <c r="Y21" s="2"/>
      <c r="Z21" s="6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1920.87</v>
      </c>
      <c r="E22" s="2"/>
      <c r="F22" s="6">
        <f t="shared" si="0"/>
        <v>0</v>
      </c>
      <c r="G22" s="2"/>
      <c r="H22" s="7">
        <v>2663.4615384615399</v>
      </c>
      <c r="I22" s="2"/>
      <c r="J22" s="6">
        <f t="shared" si="1"/>
        <v>0</v>
      </c>
      <c r="K22" s="2"/>
      <c r="L22" s="7">
        <f t="shared" si="2"/>
        <v>-742.59153846154004</v>
      </c>
      <c r="M22" s="2"/>
      <c r="N22" s="6">
        <f t="shared" si="3"/>
        <v>-0.27880693140794266</v>
      </c>
      <c r="O22" s="11"/>
      <c r="P22" s="7">
        <v>14412.21</v>
      </c>
      <c r="Q22" s="2"/>
      <c r="R22" s="6">
        <f t="shared" si="4"/>
        <v>0</v>
      </c>
      <c r="S22" s="2"/>
      <c r="T22" s="7">
        <v>22266.538461538461</v>
      </c>
      <c r="U22" s="2"/>
      <c r="V22" s="6">
        <f t="shared" si="5"/>
        <v>0</v>
      </c>
      <c r="W22" s="2"/>
      <c r="X22" s="7">
        <f t="shared" si="6"/>
        <v>-7854.3284615384619</v>
      </c>
      <c r="Y22" s="2"/>
      <c r="Z22" s="6">
        <f t="shared" si="7"/>
        <v>-0.3527413331490854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28.98</v>
      </c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28.98</v>
      </c>
      <c r="M23" s="2"/>
      <c r="N23" s="6">
        <f t="shared" si="3"/>
        <v>0</v>
      </c>
      <c r="O23" s="11"/>
      <c r="P23" s="7">
        <v>282.01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282.01</v>
      </c>
      <c r="Y23" s="2"/>
      <c r="Z23" s="6">
        <f t="shared" si="7"/>
        <v>0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12039.84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12039.84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1022.52</v>
      </c>
      <c r="M26" s="2"/>
      <c r="N26" s="6">
        <f t="shared" si="3"/>
        <v>0</v>
      </c>
      <c r="O26" s="11"/>
      <c r="P26" s="7">
        <v>8883.56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8883.56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510.58</v>
      </c>
      <c r="M27" s="2"/>
      <c r="N27" s="6">
        <f t="shared" si="3"/>
        <v>0</v>
      </c>
      <c r="O27" s="11"/>
      <c r="P27" s="7">
        <v>4435.87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4435.87</v>
      </c>
      <c r="Y27" s="2"/>
      <c r="Z27" s="6">
        <f t="shared" si="7"/>
        <v>0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-350</v>
      </c>
      <c r="M28" s="2"/>
      <c r="N28" s="6">
        <f t="shared" si="3"/>
        <v>-1</v>
      </c>
      <c r="O28" s="11"/>
      <c r="P28" s="7">
        <v>432.17</v>
      </c>
      <c r="Q28" s="2"/>
      <c r="R28" s="6">
        <f t="shared" si="4"/>
        <v>0</v>
      </c>
      <c r="S28" s="2"/>
      <c r="T28" s="7">
        <v>2800</v>
      </c>
      <c r="U28" s="2"/>
      <c r="V28" s="6">
        <f t="shared" si="5"/>
        <v>0</v>
      </c>
      <c r="W28" s="2"/>
      <c r="X28" s="7">
        <f t="shared" si="6"/>
        <v>-2367.83</v>
      </c>
      <c r="Y28" s="2"/>
      <c r="Z28" s="6">
        <f t="shared" si="7"/>
        <v>-0.84565357142857145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10590.82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10590.82</v>
      </c>
      <c r="M29" s="1"/>
      <c r="N29" s="5">
        <f t="shared" ref="N29:N39" si="11">IF(H29=0,0,L29/H29)</f>
        <v>0</v>
      </c>
      <c r="O29" s="14"/>
      <c r="P29" s="1">
        <f>SUM(OSRRefP22_1x_0)</f>
        <v>89566.900000000009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89566.900000000009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10590.82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10590.82</v>
      </c>
      <c r="M30" s="2"/>
      <c r="N30" s="6">
        <f t="shared" si="11"/>
        <v>0</v>
      </c>
      <c r="O30" s="11"/>
      <c r="P30" s="7">
        <v>87181.900000000009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87181.900000000009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706.91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706.91</v>
      </c>
      <c r="M42" s="1"/>
      <c r="N42" s="5">
        <f t="shared" si="19"/>
        <v>0</v>
      </c>
      <c r="O42" s="14"/>
      <c r="P42" s="1">
        <f>SUM(OSRRefP22_3x_0)</f>
        <v>3387.49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3387.49</v>
      </c>
      <c r="Y42" s="1"/>
      <c r="Z42" s="5">
        <f t="shared" si="23"/>
        <v>0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>
        <v>706.91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706.91</v>
      </c>
      <c r="M43" s="2"/>
      <c r="N43" s="6">
        <f t="shared" si="19"/>
        <v>0</v>
      </c>
      <c r="O43" s="11"/>
      <c r="P43" s="7">
        <v>3387.49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3387.49</v>
      </c>
      <c r="Y43" s="2"/>
      <c r="Z43" s="6">
        <f t="shared" si="23"/>
        <v>0</v>
      </c>
    </row>
    <row r="44" spans="1:26" s="28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4"/>
      <c r="P44" s="1">
        <f>SUM(OSRRefP22_4x_0)</f>
        <v>55023.070000000007</v>
      </c>
      <c r="Q44" s="1"/>
      <c r="R44" s="5">
        <f t="shared" si="20"/>
        <v>0</v>
      </c>
      <c r="S44" s="1"/>
      <c r="T44" s="1">
        <f>SUM(OSRRefT22_4x_0)</f>
        <v>54738</v>
      </c>
      <c r="U44" s="1"/>
      <c r="V44" s="5">
        <f t="shared" si="21"/>
        <v>0</v>
      </c>
      <c r="W44" s="1"/>
      <c r="X44" s="1">
        <f t="shared" si="22"/>
        <v>285.07000000000698</v>
      </c>
      <c r="Y44" s="1"/>
      <c r="Z44" s="5">
        <f t="shared" si="23"/>
        <v>5.2078994482810297E-3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15365.630000000001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15365.630000000001</v>
      </c>
      <c r="Y45" s="2"/>
      <c r="Z45" s="6">
        <f t="shared" si="23"/>
        <v>0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39657.440000000002</v>
      </c>
      <c r="Q46" s="2"/>
      <c r="R46" s="6">
        <f t="shared" si="20"/>
        <v>0</v>
      </c>
      <c r="S46" s="2"/>
      <c r="T46" s="7">
        <v>54738</v>
      </c>
      <c r="U46" s="2"/>
      <c r="V46" s="6">
        <f t="shared" si="21"/>
        <v>0</v>
      </c>
      <c r="W46" s="2"/>
      <c r="X46" s="7">
        <f t="shared" si="22"/>
        <v>-15080.559999999998</v>
      </c>
      <c r="Y46" s="2"/>
      <c r="Z46" s="6">
        <f t="shared" si="23"/>
        <v>-0.27550440279147936</v>
      </c>
    </row>
    <row r="47" spans="1:26" s="28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0</v>
      </c>
      <c r="E47" s="1"/>
      <c r="F47" s="5">
        <f t="shared" ref="F47:F58" si="24">IF(D$12=0,0,D47/D$12)</f>
        <v>0</v>
      </c>
      <c r="G47" s="1"/>
      <c r="H47" s="1">
        <f>SUM(OSRRefH22_5x_0)</f>
        <v>0</v>
      </c>
      <c r="I47" s="1"/>
      <c r="J47" s="5">
        <f t="shared" ref="J47:J58" si="25">IF(H$12=0,0,H47/H$12)</f>
        <v>0</v>
      </c>
      <c r="K47" s="1"/>
      <c r="L47" s="1">
        <f t="shared" ref="L47:L58" si="26">+D47-H47</f>
        <v>0</v>
      </c>
      <c r="M47" s="1"/>
      <c r="N47" s="5">
        <f t="shared" ref="N47:N58" si="27">IF(H47=0,0,L47/H47)</f>
        <v>0</v>
      </c>
      <c r="O47" s="14"/>
      <c r="P47" s="1">
        <f>SUM(OSRRefP22_5x_0)</f>
        <v>2928.23</v>
      </c>
      <c r="Q47" s="1"/>
      <c r="R47" s="5">
        <f t="shared" ref="R47:R58" si="28">IF(P$12=0,0,P47/P$12)</f>
        <v>0</v>
      </c>
      <c r="S47" s="1"/>
      <c r="T47" s="1">
        <f>SUM(OSRRefT22_5x_0)</f>
        <v>0</v>
      </c>
      <c r="U47" s="1"/>
      <c r="V47" s="5">
        <f t="shared" ref="V47:V58" si="29">IF(T$12=0,0,T47/T$12)</f>
        <v>0</v>
      </c>
      <c r="W47" s="1"/>
      <c r="X47" s="1">
        <f t="shared" ref="X47:X58" si="30">+P47-T47</f>
        <v>2928.23</v>
      </c>
      <c r="Y47" s="1"/>
      <c r="Z47" s="5">
        <f t="shared" ref="Z47:Z58" si="31">IF(T47=0,0,X47/T47)</f>
        <v>0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>
        <v>2928.23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2928.23</v>
      </c>
      <c r="Y48" s="2"/>
      <c r="Z48" s="6">
        <f t="shared" si="31"/>
        <v>0</v>
      </c>
    </row>
    <row r="49" spans="1:26" s="28" customFormat="1" outlineLevel="1" collapsed="1" x14ac:dyDescent="0.25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-5.41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-5.41</v>
      </c>
      <c r="Y50" s="2"/>
      <c r="Z50" s="6">
        <f t="shared" si="31"/>
        <v>0</v>
      </c>
    </row>
    <row r="51" spans="1:26" s="28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119.41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119.41</v>
      </c>
      <c r="M51" s="1"/>
      <c r="N51" s="5">
        <f t="shared" si="27"/>
        <v>0</v>
      </c>
      <c r="O51" s="14"/>
      <c r="P51" s="1">
        <f>SUM(OSRRefP22_7x_0)</f>
        <v>516.41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516.41</v>
      </c>
      <c r="Y51" s="1"/>
      <c r="Z51" s="5">
        <f t="shared" si="31"/>
        <v>0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>
        <v>119.41</v>
      </c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119.41</v>
      </c>
      <c r="M52" s="2"/>
      <c r="N52" s="6">
        <f t="shared" si="27"/>
        <v>0</v>
      </c>
      <c r="O52" s="11"/>
      <c r="P52" s="7">
        <v>516.41</v>
      </c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516.41</v>
      </c>
      <c r="Y52" s="2"/>
      <c r="Z52" s="6">
        <f t="shared" si="31"/>
        <v>0</v>
      </c>
    </row>
    <row r="53" spans="1:26" s="28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4"/>
      <c r="P53" s="1">
        <f>SUM(OSRRefP22_8x_0)</f>
        <v>34902.800000000003</v>
      </c>
      <c r="Q53" s="1"/>
      <c r="R53" s="5">
        <f t="shared" si="28"/>
        <v>0</v>
      </c>
      <c r="S53" s="1"/>
      <c r="T53" s="1">
        <f>SUM(OSRRefT22_8x_0)</f>
        <v>30880</v>
      </c>
      <c r="U53" s="1"/>
      <c r="V53" s="5">
        <f t="shared" si="29"/>
        <v>0</v>
      </c>
      <c r="W53" s="1"/>
      <c r="X53" s="1">
        <f t="shared" si="30"/>
        <v>4022.8000000000029</v>
      </c>
      <c r="Y53" s="1"/>
      <c r="Z53" s="5">
        <f t="shared" si="31"/>
        <v>0.13027202072538868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34902.800000000003</v>
      </c>
      <c r="Q54" s="2"/>
      <c r="R54" s="6">
        <f t="shared" si="28"/>
        <v>0</v>
      </c>
      <c r="S54" s="2"/>
      <c r="T54" s="7">
        <v>30880</v>
      </c>
      <c r="U54" s="2"/>
      <c r="V54" s="6">
        <f t="shared" si="29"/>
        <v>0</v>
      </c>
      <c r="W54" s="2"/>
      <c r="X54" s="7">
        <f t="shared" si="30"/>
        <v>4022.8000000000029</v>
      </c>
      <c r="Y54" s="2"/>
      <c r="Z54" s="6">
        <f t="shared" si="31"/>
        <v>0.13027202072538868</v>
      </c>
    </row>
    <row r="55" spans="1:26" s="28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1721.13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1721.13</v>
      </c>
      <c r="M55" s="1"/>
      <c r="N55" s="5">
        <f t="shared" si="27"/>
        <v>0</v>
      </c>
      <c r="O55" s="14"/>
      <c r="P55" s="1">
        <f>SUM(OSRRefP22_9x_0)</f>
        <v>4666.3599999999997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4666.3599999999997</v>
      </c>
      <c r="Y55" s="1"/>
      <c r="Z55" s="5">
        <f t="shared" si="31"/>
        <v>0</v>
      </c>
    </row>
    <row r="56" spans="1:26" s="24" customFormat="1" hidden="1" outlineLevel="2" x14ac:dyDescent="0.25">
      <c r="A56" s="27"/>
      <c r="B56" s="11" t="str">
        <f>CONCATENATE("          ", "6371", " - ", "COMPUTER SOFTWARE MAINTENANCE")</f>
        <v xml:space="preserve">          6371 - COMPUTER SOFTWARE MAINTENANCE</v>
      </c>
      <c r="C56" s="11"/>
      <c r="D56" s="7">
        <v>702.27</v>
      </c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702.27</v>
      </c>
      <c r="M56" s="2"/>
      <c r="N56" s="6">
        <f t="shared" si="27"/>
        <v>0</v>
      </c>
      <c r="O56" s="11"/>
      <c r="P56" s="7">
        <v>702.27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702.27</v>
      </c>
      <c r="Y56" s="2"/>
      <c r="Z56" s="6">
        <f t="shared" si="31"/>
        <v>0</v>
      </c>
    </row>
    <row r="57" spans="1:26" s="24" customFormat="1" hidden="1" outlineLevel="2" x14ac:dyDescent="0.25">
      <c r="A57" s="27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24"/>
        <v>0</v>
      </c>
      <c r="G57" s="2"/>
      <c r="H57" s="7">
        <v>0</v>
      </c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2131.1999999999998</v>
      </c>
      <c r="Q57" s="2"/>
      <c r="R57" s="6">
        <f t="shared" si="28"/>
        <v>0</v>
      </c>
      <c r="S57" s="2"/>
      <c r="T57" s="7">
        <v>0</v>
      </c>
      <c r="U57" s="2"/>
      <c r="V57" s="6">
        <f t="shared" si="29"/>
        <v>0</v>
      </c>
      <c r="W57" s="2"/>
      <c r="X57" s="7">
        <f t="shared" si="30"/>
        <v>2131.1999999999998</v>
      </c>
      <c r="Y57" s="2"/>
      <c r="Z57" s="6">
        <f t="shared" si="31"/>
        <v>0</v>
      </c>
    </row>
    <row r="58" spans="1:26" s="24" customFormat="1" hidden="1" outlineLevel="2" x14ac:dyDescent="0.2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1018.86</v>
      </c>
      <c r="E58" s="2"/>
      <c r="F58" s="6">
        <f t="shared" si="24"/>
        <v>0</v>
      </c>
      <c r="G58" s="2"/>
      <c r="H58" s="7">
        <v>0</v>
      </c>
      <c r="I58" s="2"/>
      <c r="J58" s="6">
        <f t="shared" si="25"/>
        <v>0</v>
      </c>
      <c r="K58" s="2"/>
      <c r="L58" s="7">
        <f t="shared" si="26"/>
        <v>1018.86</v>
      </c>
      <c r="M58" s="2"/>
      <c r="N58" s="6">
        <f t="shared" si="27"/>
        <v>0</v>
      </c>
      <c r="O58" s="11"/>
      <c r="P58" s="7">
        <v>1832.89</v>
      </c>
      <c r="Q58" s="2"/>
      <c r="R58" s="6">
        <f t="shared" si="28"/>
        <v>0</v>
      </c>
      <c r="S58" s="2"/>
      <c r="T58" s="7">
        <v>0</v>
      </c>
      <c r="U58" s="2"/>
      <c r="V58" s="6">
        <f t="shared" si="29"/>
        <v>0</v>
      </c>
      <c r="W58" s="2"/>
      <c r="X58" s="7">
        <f t="shared" si="30"/>
        <v>1832.89</v>
      </c>
      <c r="Y58" s="2"/>
      <c r="Z58" s="6">
        <f t="shared" si="31"/>
        <v>0</v>
      </c>
    </row>
    <row r="59" spans="1:26" s="28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4880.26</v>
      </c>
      <c r="E59" s="1"/>
      <c r="F59" s="5">
        <f t="shared" ref="F59:F63" si="32">IF(D$12=0,0,D59/D$12)</f>
        <v>0</v>
      </c>
      <c r="G59" s="1"/>
      <c r="H59" s="1">
        <f>SUM(OSRRefH22_10x_0)</f>
        <v>3126</v>
      </c>
      <c r="I59" s="1"/>
      <c r="J59" s="5">
        <f t="shared" ref="J59:J63" si="33">IF(H$12=0,0,H59/H$12)</f>
        <v>0</v>
      </c>
      <c r="K59" s="1"/>
      <c r="L59" s="1">
        <f t="shared" ref="L59:L63" si="34">+D59-H59</f>
        <v>1754.2600000000002</v>
      </c>
      <c r="M59" s="1"/>
      <c r="N59" s="5">
        <f t="shared" ref="N59:N63" si="35">IF(H59=0,0,L59/H59)</f>
        <v>0.56118362124120291</v>
      </c>
      <c r="O59" s="14"/>
      <c r="P59" s="1">
        <f>SUM(OSRRefP22_10x_0)</f>
        <v>25027.56</v>
      </c>
      <c r="Q59" s="1"/>
      <c r="R59" s="5">
        <f t="shared" ref="R59:R63" si="36">IF(P$12=0,0,P59/P$12)</f>
        <v>0</v>
      </c>
      <c r="S59" s="1"/>
      <c r="T59" s="1">
        <f>SUM(OSRRefT22_10x_0)</f>
        <v>23435</v>
      </c>
      <c r="U59" s="1"/>
      <c r="V59" s="5">
        <f t="shared" ref="V59:V63" si="37">IF(T$12=0,0,T59/T$12)</f>
        <v>0</v>
      </c>
      <c r="W59" s="1"/>
      <c r="X59" s="1">
        <f t="shared" ref="X59:X63" si="38">+P59-T59</f>
        <v>1592.5600000000013</v>
      </c>
      <c r="Y59" s="1"/>
      <c r="Z59" s="5">
        <f t="shared" ref="Z59:Z63" si="39">IF(T59=0,0,X59/T59)</f>
        <v>6.795647535737151E-2</v>
      </c>
    </row>
    <row r="60" spans="1:26" s="24" customFormat="1" hidden="1" outlineLevel="2" x14ac:dyDescent="0.25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626.26</v>
      </c>
      <c r="E60" s="2"/>
      <c r="F60" s="6">
        <f t="shared" si="32"/>
        <v>0</v>
      </c>
      <c r="G60" s="2"/>
      <c r="H60" s="7">
        <v>626</v>
      </c>
      <c r="I60" s="2"/>
      <c r="J60" s="6">
        <f t="shared" si="33"/>
        <v>0</v>
      </c>
      <c r="K60" s="2"/>
      <c r="L60" s="7">
        <f t="shared" si="34"/>
        <v>0.25999999999999091</v>
      </c>
      <c r="M60" s="2"/>
      <c r="N60" s="6">
        <f t="shared" si="35"/>
        <v>4.1533546325877143E-4</v>
      </c>
      <c r="O60" s="11"/>
      <c r="P60" s="7">
        <v>3757.56</v>
      </c>
      <c r="Q60" s="2"/>
      <c r="R60" s="6">
        <f t="shared" si="36"/>
        <v>0</v>
      </c>
      <c r="S60" s="2"/>
      <c r="T60" s="7">
        <v>5635</v>
      </c>
      <c r="U60" s="2"/>
      <c r="V60" s="6">
        <f t="shared" si="37"/>
        <v>0</v>
      </c>
      <c r="W60" s="2"/>
      <c r="X60" s="7">
        <f t="shared" si="38"/>
        <v>-1877.44</v>
      </c>
      <c r="Y60" s="2"/>
      <c r="Z60" s="6">
        <f t="shared" si="39"/>
        <v>-0.33317480035492458</v>
      </c>
    </row>
    <row r="61" spans="1:26" s="24" customFormat="1" hidden="1" outlineLevel="2" x14ac:dyDescent="0.25">
      <c r="A61" s="27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32"/>
        <v>0</v>
      </c>
      <c r="G61" s="2"/>
      <c r="H61" s="7">
        <v>0</v>
      </c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/>
      <c r="Q61" s="2"/>
      <c r="R61" s="6">
        <f t="shared" si="36"/>
        <v>0</v>
      </c>
      <c r="S61" s="2"/>
      <c r="T61" s="7">
        <v>0</v>
      </c>
      <c r="U61" s="2"/>
      <c r="V61" s="6">
        <f t="shared" si="37"/>
        <v>0</v>
      </c>
      <c r="W61" s="2"/>
      <c r="X61" s="7">
        <f t="shared" si="38"/>
        <v>0</v>
      </c>
      <c r="Y61" s="2"/>
      <c r="Z61" s="6">
        <f t="shared" si="39"/>
        <v>0</v>
      </c>
    </row>
    <row r="62" spans="1:26" s="24" customFormat="1" hidden="1" outlineLevel="2" x14ac:dyDescent="0.25">
      <c r="A62" s="27"/>
      <c r="B62" s="11" t="str">
        <f>CONCATENATE("          ", "6284", " - ", "TRASH REMOVAL EXPENSE")</f>
        <v xml:space="preserve">          6284 - TRASH REMOVAL EXPENSE</v>
      </c>
      <c r="C62" s="11"/>
      <c r="D62" s="7">
        <v>4254</v>
      </c>
      <c r="E62" s="2"/>
      <c r="F62" s="6">
        <f t="shared" si="32"/>
        <v>0</v>
      </c>
      <c r="G62" s="2"/>
      <c r="H62" s="7">
        <v>2500</v>
      </c>
      <c r="I62" s="2"/>
      <c r="J62" s="6">
        <f t="shared" si="33"/>
        <v>0</v>
      </c>
      <c r="K62" s="2"/>
      <c r="L62" s="7">
        <f t="shared" si="34"/>
        <v>1754</v>
      </c>
      <c r="M62" s="2"/>
      <c r="N62" s="6">
        <f t="shared" si="35"/>
        <v>0.7016</v>
      </c>
      <c r="O62" s="11"/>
      <c r="P62" s="7">
        <v>21270</v>
      </c>
      <c r="Q62" s="2"/>
      <c r="R62" s="6">
        <f t="shared" si="36"/>
        <v>0</v>
      </c>
      <c r="S62" s="2"/>
      <c r="T62" s="7">
        <v>17800</v>
      </c>
      <c r="U62" s="2"/>
      <c r="V62" s="6">
        <f t="shared" si="37"/>
        <v>0</v>
      </c>
      <c r="W62" s="2"/>
      <c r="X62" s="7">
        <f t="shared" si="38"/>
        <v>3470</v>
      </c>
      <c r="Y62" s="2"/>
      <c r="Z62" s="6">
        <f t="shared" si="39"/>
        <v>0.19494382022471909</v>
      </c>
    </row>
    <row r="63" spans="1:26" s="24" customFormat="1" hidden="1" outlineLevel="2" x14ac:dyDescent="0.25">
      <c r="A63" s="27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32"/>
        <v>0</v>
      </c>
      <c r="G63" s="2"/>
      <c r="H63" s="7">
        <v>0</v>
      </c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/>
      <c r="Q63" s="2"/>
      <c r="R63" s="6">
        <f t="shared" si="36"/>
        <v>0</v>
      </c>
      <c r="S63" s="2"/>
      <c r="T63" s="7">
        <v>0</v>
      </c>
      <c r="U63" s="2"/>
      <c r="V63" s="6">
        <f t="shared" si="37"/>
        <v>0</v>
      </c>
      <c r="W63" s="2"/>
      <c r="X63" s="7">
        <f t="shared" si="38"/>
        <v>0</v>
      </c>
      <c r="Y63" s="2"/>
      <c r="Z63" s="6">
        <f t="shared" si="39"/>
        <v>0</v>
      </c>
    </row>
    <row r="64" spans="1:26" s="28" customFormat="1" outlineLevel="1" collapsed="1" x14ac:dyDescent="0.25">
      <c r="A64" s="29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SUM(OSRRefD22_11x_0)</f>
        <v>0</v>
      </c>
      <c r="E64" s="1"/>
      <c r="F64" s="5">
        <f t="shared" ref="F64:F73" si="40">IF(D$12=0,0,D64/D$12)</f>
        <v>0</v>
      </c>
      <c r="G64" s="1"/>
      <c r="H64" s="1">
        <f>SUM(OSRRefH22_11x_0)</f>
        <v>0</v>
      </c>
      <c r="I64" s="1"/>
      <c r="J64" s="5">
        <f t="shared" ref="J64:J73" si="41">IF(H$12=0,0,H64/H$12)</f>
        <v>0</v>
      </c>
      <c r="K64" s="1"/>
      <c r="L64" s="1">
        <f t="shared" ref="L64:L73" si="42">+D64-H64</f>
        <v>0</v>
      </c>
      <c r="M64" s="1"/>
      <c r="N64" s="5">
        <f t="shared" ref="N64:N73" si="43">IF(H64=0,0,L64/H64)</f>
        <v>0</v>
      </c>
      <c r="O64" s="14"/>
      <c r="P64" s="1">
        <f>SUM(OSRRefP22_11x_0)</f>
        <v>0</v>
      </c>
      <c r="Q64" s="1"/>
      <c r="R64" s="5">
        <f t="shared" ref="R64:R73" si="44">IF(P$12=0,0,P64/P$12)</f>
        <v>0</v>
      </c>
      <c r="S64" s="1"/>
      <c r="T64" s="1">
        <f>SUM(OSRRefT22_11x_0)</f>
        <v>900</v>
      </c>
      <c r="U64" s="1"/>
      <c r="V64" s="5">
        <f t="shared" ref="V64:V73" si="45">IF(T$12=0,0,T64/T$12)</f>
        <v>0</v>
      </c>
      <c r="W64" s="1"/>
      <c r="X64" s="1">
        <f t="shared" ref="X64:X73" si="46">+P64-T64</f>
        <v>-900</v>
      </c>
      <c r="Y64" s="1"/>
      <c r="Z64" s="5">
        <f t="shared" ref="Z64:Z73" si="47">IF(T64=0,0,X64/T64)</f>
        <v>-1</v>
      </c>
    </row>
    <row r="65" spans="1:26" s="24" customFormat="1" hidden="1" outlineLevel="2" x14ac:dyDescent="0.25">
      <c r="A65" s="27"/>
      <c r="B65" s="11" t="str">
        <f>CONCATENATE("          ", "6258", " - ", "MEMBERSHIP DUES")</f>
        <v xml:space="preserve">          6258 - MEMBERSHIP DUES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900</v>
      </c>
      <c r="U65" s="2"/>
      <c r="V65" s="6">
        <f t="shared" si="45"/>
        <v>0</v>
      </c>
      <c r="W65" s="2"/>
      <c r="X65" s="7">
        <f t="shared" si="46"/>
        <v>-900</v>
      </c>
      <c r="Y65" s="2"/>
      <c r="Z65" s="6">
        <f t="shared" si="47"/>
        <v>-1</v>
      </c>
    </row>
    <row r="66" spans="1:26" s="28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SUM(OSRRefD22_12x_0)</f>
        <v>0</v>
      </c>
      <c r="E66" s="1"/>
      <c r="F66" s="5">
        <f t="shared" si="40"/>
        <v>0</v>
      </c>
      <c r="G66" s="1"/>
      <c r="H66" s="1">
        <f>SUM(OSRRefH22_12x_0)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SUM(OSRRefP22_12x_0)</f>
        <v>-29072.879999999997</v>
      </c>
      <c r="Q66" s="1"/>
      <c r="R66" s="5">
        <f t="shared" si="44"/>
        <v>0</v>
      </c>
      <c r="S66" s="1"/>
      <c r="T66" s="1">
        <f>SUM(OSRRefT22_12x_0)</f>
        <v>0</v>
      </c>
      <c r="U66" s="1"/>
      <c r="V66" s="5">
        <f t="shared" si="45"/>
        <v>0</v>
      </c>
      <c r="W66" s="1"/>
      <c r="X66" s="1">
        <f t="shared" si="46"/>
        <v>-29072.879999999997</v>
      </c>
      <c r="Y66" s="1"/>
      <c r="Z66" s="5">
        <f t="shared" si="47"/>
        <v>0</v>
      </c>
    </row>
    <row r="67" spans="1:26" s="24" customFormat="1" hidden="1" outlineLevel="2" x14ac:dyDescent="0.25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127.89</v>
      </c>
      <c r="Q67" s="2"/>
      <c r="R67" s="6">
        <f t="shared" si="44"/>
        <v>0</v>
      </c>
      <c r="S67" s="2"/>
      <c r="T67" s="7">
        <v>0</v>
      </c>
      <c r="U67" s="2"/>
      <c r="V67" s="6">
        <f t="shared" si="45"/>
        <v>0</v>
      </c>
      <c r="W67" s="2"/>
      <c r="X67" s="7">
        <f t="shared" si="46"/>
        <v>127.89</v>
      </c>
      <c r="Y67" s="2"/>
      <c r="Z67" s="6">
        <f t="shared" si="47"/>
        <v>0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40"/>
        <v>0</v>
      </c>
      <c r="G68" s="2"/>
      <c r="H68" s="7">
        <v>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40"/>
        <v>0</v>
      </c>
      <c r="G69" s="2"/>
      <c r="H69" s="7">
        <v>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/>
      <c r="Q69" s="2"/>
      <c r="R69" s="6">
        <f t="shared" si="44"/>
        <v>0</v>
      </c>
      <c r="S69" s="2"/>
      <c r="T69" s="7">
        <v>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40"/>
        <v>0</v>
      </c>
      <c r="G70" s="2"/>
      <c r="H70" s="7">
        <v>0</v>
      </c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-29200.769999999997</v>
      </c>
      <c r="Q70" s="2"/>
      <c r="R70" s="6">
        <f t="shared" si="44"/>
        <v>0</v>
      </c>
      <c r="S70" s="2"/>
      <c r="T70" s="7">
        <v>0</v>
      </c>
      <c r="U70" s="2"/>
      <c r="V70" s="6">
        <f t="shared" si="45"/>
        <v>0</v>
      </c>
      <c r="W70" s="2"/>
      <c r="X70" s="7">
        <f t="shared" si="46"/>
        <v>-29200.769999999997</v>
      </c>
      <c r="Y70" s="2"/>
      <c r="Z70" s="6">
        <f t="shared" si="47"/>
        <v>0</v>
      </c>
    </row>
    <row r="71" spans="1:26" s="24" customFormat="1" hidden="1" outlineLevel="2" x14ac:dyDescent="0.25">
      <c r="A71" s="27"/>
      <c r="B71" s="11" t="str">
        <f>CONCATENATE("          ", "6246", " - ", "REPLACEMENTS")</f>
        <v xml:space="preserve">          6246 - REPLACEMENTS</v>
      </c>
      <c r="C71" s="11"/>
      <c r="D71" s="7"/>
      <c r="E71" s="2"/>
      <c r="F71" s="6">
        <f t="shared" si="40"/>
        <v>0</v>
      </c>
      <c r="G71" s="2"/>
      <c r="H71" s="7">
        <v>0</v>
      </c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/>
      <c r="Q71" s="2"/>
      <c r="R71" s="6">
        <f t="shared" si="44"/>
        <v>0</v>
      </c>
      <c r="S71" s="2"/>
      <c r="T71" s="7">
        <v>0</v>
      </c>
      <c r="U71" s="2"/>
      <c r="V71" s="6">
        <f t="shared" si="45"/>
        <v>0</v>
      </c>
      <c r="W71" s="2"/>
      <c r="X71" s="7">
        <f t="shared" si="46"/>
        <v>0</v>
      </c>
      <c r="Y71" s="2"/>
      <c r="Z71" s="6">
        <f t="shared" si="47"/>
        <v>0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0"/>
        <v>0</v>
      </c>
      <c r="G72" s="2"/>
      <c r="H72" s="7">
        <v>0</v>
      </c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/>
      <c r="Q72" s="2"/>
      <c r="R72" s="6">
        <f t="shared" si="44"/>
        <v>0</v>
      </c>
      <c r="S72" s="2"/>
      <c r="T72" s="7">
        <v>0</v>
      </c>
      <c r="U72" s="2"/>
      <c r="V72" s="6">
        <f t="shared" si="45"/>
        <v>0</v>
      </c>
      <c r="W72" s="2"/>
      <c r="X72" s="7">
        <f t="shared" si="46"/>
        <v>0</v>
      </c>
      <c r="Y72" s="2"/>
      <c r="Z72" s="6">
        <f t="shared" si="47"/>
        <v>0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0"/>
        <v>0</v>
      </c>
      <c r="G73" s="2"/>
      <c r="H73" s="7"/>
      <c r="I73" s="2"/>
      <c r="J73" s="6">
        <f t="shared" si="41"/>
        <v>0</v>
      </c>
      <c r="K73" s="2"/>
      <c r="L73" s="7">
        <f t="shared" si="42"/>
        <v>0</v>
      </c>
      <c r="M73" s="2"/>
      <c r="N73" s="6">
        <f t="shared" si="43"/>
        <v>0</v>
      </c>
      <c r="O73" s="11"/>
      <c r="P73" s="7"/>
      <c r="Q73" s="2"/>
      <c r="R73" s="6">
        <f t="shared" si="44"/>
        <v>0</v>
      </c>
      <c r="S73" s="2"/>
      <c r="T73" s="7">
        <v>0</v>
      </c>
      <c r="U73" s="2"/>
      <c r="V73" s="6">
        <f t="shared" si="45"/>
        <v>0</v>
      </c>
      <c r="W73" s="2"/>
      <c r="X73" s="7">
        <f t="shared" si="46"/>
        <v>0</v>
      </c>
      <c r="Y73" s="2"/>
      <c r="Z73" s="6">
        <f t="shared" si="47"/>
        <v>0</v>
      </c>
    </row>
    <row r="74" spans="1:26" s="28" customFormat="1" outlineLevel="1" collapsed="1" x14ac:dyDescent="0.25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SUM(OSRRefD22_13x_0)</f>
        <v>93.1</v>
      </c>
      <c r="E74" s="1"/>
      <c r="F74" s="5">
        <f t="shared" ref="F74:F79" si="48">IF(D$12=0,0,D74/D$12)</f>
        <v>0</v>
      </c>
      <c r="G74" s="1"/>
      <c r="H74" s="1">
        <f>SUM(OSRRefH22_13x_0)</f>
        <v>50</v>
      </c>
      <c r="I74" s="1"/>
      <c r="J74" s="5">
        <f t="shared" ref="J74:J79" si="49">IF(H$12=0,0,H74/H$12)</f>
        <v>0</v>
      </c>
      <c r="K74" s="1"/>
      <c r="L74" s="1">
        <f t="shared" ref="L74:L79" si="50">+D74-H74</f>
        <v>43.099999999999994</v>
      </c>
      <c r="M74" s="1"/>
      <c r="N74" s="5">
        <f t="shared" ref="N74:N79" si="51">IF(H74=0,0,L74/H74)</f>
        <v>0.86199999999999988</v>
      </c>
      <c r="O74" s="14"/>
      <c r="P74" s="1">
        <f>SUM(OSRRefP22_13x_0)</f>
        <v>1572.63</v>
      </c>
      <c r="Q74" s="1"/>
      <c r="R74" s="5">
        <f t="shared" ref="R74:R79" si="52">IF(P$12=0,0,P74/P$12)</f>
        <v>0</v>
      </c>
      <c r="S74" s="1"/>
      <c r="T74" s="1">
        <f>SUM(OSRRefT22_13x_0)</f>
        <v>400</v>
      </c>
      <c r="U74" s="1"/>
      <c r="V74" s="5">
        <f t="shared" ref="V74:V79" si="53">IF(T$12=0,0,T74/T$12)</f>
        <v>0</v>
      </c>
      <c r="W74" s="1"/>
      <c r="X74" s="1">
        <f t="shared" ref="X74:X79" si="54">+P74-T74</f>
        <v>1172.6300000000001</v>
      </c>
      <c r="Y74" s="1"/>
      <c r="Z74" s="5">
        <f t="shared" ref="Z74:Z79" si="55">IF(T74=0,0,X74/T74)</f>
        <v>2.9315750000000005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7">
        <v>93.1</v>
      </c>
      <c r="E75" s="2"/>
      <c r="F75" s="6">
        <f t="shared" si="48"/>
        <v>0</v>
      </c>
      <c r="G75" s="2"/>
      <c r="H75" s="7">
        <v>50</v>
      </c>
      <c r="I75" s="2"/>
      <c r="J75" s="6">
        <f t="shared" si="49"/>
        <v>0</v>
      </c>
      <c r="K75" s="2"/>
      <c r="L75" s="7">
        <f t="shared" si="50"/>
        <v>43.099999999999994</v>
      </c>
      <c r="M75" s="2"/>
      <c r="N75" s="6">
        <f t="shared" si="51"/>
        <v>0.86199999999999988</v>
      </c>
      <c r="O75" s="11"/>
      <c r="P75" s="7">
        <v>1572.63</v>
      </c>
      <c r="Q75" s="2"/>
      <c r="R75" s="6">
        <f t="shared" si="52"/>
        <v>0</v>
      </c>
      <c r="S75" s="2"/>
      <c r="T75" s="7">
        <v>400</v>
      </c>
      <c r="U75" s="2"/>
      <c r="V75" s="6">
        <f t="shared" si="53"/>
        <v>0</v>
      </c>
      <c r="W75" s="2"/>
      <c r="X75" s="7">
        <f t="shared" si="54"/>
        <v>1172.6300000000001</v>
      </c>
      <c r="Y75" s="2"/>
      <c r="Z75" s="6">
        <f t="shared" si="55"/>
        <v>2.9315750000000005</v>
      </c>
    </row>
    <row r="76" spans="1:26" s="28" customFormat="1" outlineLevel="1" collapsed="1" x14ac:dyDescent="0.25">
      <c r="A76" s="29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SUM(OSRRefD22_14x_0)</f>
        <v>0</v>
      </c>
      <c r="E76" s="1"/>
      <c r="F76" s="5">
        <f t="shared" si="48"/>
        <v>0</v>
      </c>
      <c r="G76" s="1"/>
      <c r="H76" s="1">
        <f>SUM(OSRRefH22_14x_0)</f>
        <v>0</v>
      </c>
      <c r="I76" s="1"/>
      <c r="J76" s="5">
        <f t="shared" si="49"/>
        <v>0</v>
      </c>
      <c r="K76" s="1"/>
      <c r="L76" s="1">
        <f t="shared" si="50"/>
        <v>0</v>
      </c>
      <c r="M76" s="1"/>
      <c r="N76" s="5">
        <f t="shared" si="51"/>
        <v>0</v>
      </c>
      <c r="O76" s="14"/>
      <c r="P76" s="1">
        <f>SUM(OSRRefP22_14x_0)</f>
        <v>332.21</v>
      </c>
      <c r="Q76" s="1"/>
      <c r="R76" s="5">
        <f t="shared" si="52"/>
        <v>0</v>
      </c>
      <c r="S76" s="1"/>
      <c r="T76" s="1">
        <f>SUM(OSRRefT22_14x_0)</f>
        <v>0</v>
      </c>
      <c r="U76" s="1"/>
      <c r="V76" s="5">
        <f t="shared" si="53"/>
        <v>0</v>
      </c>
      <c r="W76" s="1"/>
      <c r="X76" s="1">
        <f t="shared" si="54"/>
        <v>332.21</v>
      </c>
      <c r="Y76" s="1"/>
      <c r="Z76" s="5">
        <f t="shared" si="55"/>
        <v>0</v>
      </c>
    </row>
    <row r="77" spans="1:26" s="24" customFormat="1" hidden="1" outlineLevel="2" x14ac:dyDescent="0.25">
      <c r="A77" s="27"/>
      <c r="B77" s="11" t="str">
        <f>CONCATENATE("          ", "6298", " - ", "VEHICLE MILEAGE")</f>
        <v xml:space="preserve">          6298 - VEHICLE MILEAGE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>
        <v>332.21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332.21</v>
      </c>
      <c r="Y77" s="2"/>
      <c r="Z77" s="6">
        <f t="shared" si="55"/>
        <v>0</v>
      </c>
    </row>
    <row r="78" spans="1:26" s="28" customFormat="1" outlineLevel="1" collapsed="1" x14ac:dyDescent="0.25">
      <c r="A78" s="29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SUM(OSRRefD22_15x_0)</f>
        <v>1000</v>
      </c>
      <c r="E78" s="1"/>
      <c r="F78" s="5">
        <f t="shared" si="48"/>
        <v>0</v>
      </c>
      <c r="G78" s="1"/>
      <c r="H78" s="1">
        <f>SUM(OSRRefH22_15x_0)</f>
        <v>1000</v>
      </c>
      <c r="I78" s="1"/>
      <c r="J78" s="5">
        <f t="shared" si="49"/>
        <v>0</v>
      </c>
      <c r="K78" s="1"/>
      <c r="L78" s="1">
        <f t="shared" si="50"/>
        <v>0</v>
      </c>
      <c r="M78" s="1"/>
      <c r="N78" s="5">
        <f t="shared" si="51"/>
        <v>0</v>
      </c>
      <c r="O78" s="14"/>
      <c r="P78" s="1">
        <f>SUM(OSRRefP22_15x_0)</f>
        <v>-11876</v>
      </c>
      <c r="Q78" s="1"/>
      <c r="R78" s="5">
        <f t="shared" si="52"/>
        <v>0</v>
      </c>
      <c r="S78" s="1"/>
      <c r="T78" s="1">
        <f>SUM(OSRRefT22_15x_0)</f>
        <v>8000</v>
      </c>
      <c r="U78" s="1"/>
      <c r="V78" s="5">
        <f t="shared" si="53"/>
        <v>0</v>
      </c>
      <c r="W78" s="1"/>
      <c r="X78" s="1">
        <f t="shared" si="54"/>
        <v>-19876</v>
      </c>
      <c r="Y78" s="1"/>
      <c r="Z78" s="5">
        <f t="shared" si="55"/>
        <v>-2.4845000000000002</v>
      </c>
    </row>
    <row r="79" spans="1:26" s="24" customFormat="1" hidden="1" outlineLevel="2" x14ac:dyDescent="0.25">
      <c r="A79" s="27"/>
      <c r="B79" s="11" t="str">
        <f>CONCATENATE("          ", "6274", " - ", "UTILITIES")</f>
        <v xml:space="preserve">          6274 - UTILITIES</v>
      </c>
      <c r="C79" s="11"/>
      <c r="D79" s="7">
        <v>1000</v>
      </c>
      <c r="E79" s="2"/>
      <c r="F79" s="6">
        <f t="shared" si="48"/>
        <v>0</v>
      </c>
      <c r="G79" s="2"/>
      <c r="H79" s="7">
        <v>1000</v>
      </c>
      <c r="I79" s="2"/>
      <c r="J79" s="6">
        <f t="shared" si="49"/>
        <v>0</v>
      </c>
      <c r="K79" s="2"/>
      <c r="L79" s="7">
        <f t="shared" si="50"/>
        <v>0</v>
      </c>
      <c r="M79" s="2"/>
      <c r="N79" s="6">
        <f t="shared" si="51"/>
        <v>0</v>
      </c>
      <c r="O79" s="11"/>
      <c r="P79" s="7">
        <v>-11876</v>
      </c>
      <c r="Q79" s="2"/>
      <c r="R79" s="6">
        <f t="shared" si="52"/>
        <v>0</v>
      </c>
      <c r="S79" s="2"/>
      <c r="T79" s="7">
        <v>8000</v>
      </c>
      <c r="U79" s="2"/>
      <c r="V79" s="6">
        <f t="shared" si="53"/>
        <v>0</v>
      </c>
      <c r="W79" s="2"/>
      <c r="X79" s="7">
        <f t="shared" si="54"/>
        <v>-19876</v>
      </c>
      <c r="Y79" s="2"/>
      <c r="Z79" s="6">
        <f t="shared" si="55"/>
        <v>-2.4845000000000002</v>
      </c>
    </row>
    <row r="80" spans="1:26" s="58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6" t="s">
        <v>0</v>
      </c>
      <c r="C81" s="10"/>
      <c r="D81" s="4">
        <f>SUM(OSRRefD25x_0)</f>
        <v>0</v>
      </c>
      <c r="E81" s="4"/>
      <c r="F81" s="12">
        <f t="shared" ref="F81:F83" si="56">IF(D$12=0,0,D81/D$12)</f>
        <v>0</v>
      </c>
      <c r="G81" s="4"/>
      <c r="H81" s="4">
        <f>SUM(OSRRefH25x_0)</f>
        <v>0</v>
      </c>
      <c r="I81" s="4"/>
      <c r="J81" s="12">
        <f t="shared" ref="J81:J83" si="57">IF(H$12=0,0,H81/H$12)</f>
        <v>0</v>
      </c>
      <c r="K81" s="4"/>
      <c r="L81" s="4">
        <f t="shared" ref="L81:L83" si="58">+D81-H81</f>
        <v>0</v>
      </c>
      <c r="M81" s="4"/>
      <c r="N81" s="12">
        <f t="shared" ref="N81:N83" si="59">IF(H81=0,0,L81/H81)</f>
        <v>0</v>
      </c>
      <c r="O81" s="10"/>
      <c r="P81" s="4">
        <f>SUM(OSRRefP25x_0)</f>
        <v>2432.98</v>
      </c>
      <c r="Q81" s="4"/>
      <c r="R81" s="12">
        <f t="shared" ref="R81:R83" si="60">IF(P$12=0,0,P81/P$12)</f>
        <v>0</v>
      </c>
      <c r="S81" s="4"/>
      <c r="T81" s="4">
        <f>SUM(OSRRefT25x_0)</f>
        <v>0</v>
      </c>
      <c r="U81" s="4"/>
      <c r="V81" s="12">
        <f t="shared" ref="V81:V83" si="61">IF(T$12=0,0,T81/T$12)</f>
        <v>0</v>
      </c>
      <c r="W81" s="4"/>
      <c r="X81" s="4">
        <f t="shared" ref="X81:X83" si="62">+P81-T81</f>
        <v>2432.98</v>
      </c>
      <c r="Y81" s="4"/>
      <c r="Z81" s="12">
        <f t="shared" ref="Z81:Z83" si="63">IF(T81=0,0,X81/T81)</f>
        <v>0</v>
      </c>
    </row>
    <row r="82" spans="1:26" s="24" customFormat="1" hidden="1" outlineLevel="1" x14ac:dyDescent="0.25">
      <c r="A82" s="51"/>
      <c r="B82" s="11" t="str">
        <f>CONCATENATE("          ", "9150", " - ", "MISC. INCOME")</f>
        <v xml:space="preserve">          9150 - MISC. INCOME</v>
      </c>
      <c r="C82" s="11"/>
      <c r="D82" s="2">
        <f t="shared" ref="D82:D83" si="64">0</f>
        <v>0</v>
      </c>
      <c r="E82" s="2"/>
      <c r="F82" s="22">
        <f t="shared" si="56"/>
        <v>0</v>
      </c>
      <c r="G82" s="2"/>
      <c r="H82" s="2">
        <v>0</v>
      </c>
      <c r="I82" s="2"/>
      <c r="J82" s="22">
        <f t="shared" si="57"/>
        <v>0</v>
      </c>
      <c r="K82" s="2"/>
      <c r="L82" s="2">
        <f t="shared" si="58"/>
        <v>0</v>
      </c>
      <c r="M82" s="2"/>
      <c r="N82" s="22">
        <f t="shared" si="59"/>
        <v>0</v>
      </c>
      <c r="O82" s="11"/>
      <c r="P82" s="2">
        <f>--1616.63</f>
        <v>1616.63</v>
      </c>
      <c r="Q82" s="2"/>
      <c r="R82" s="22">
        <f t="shared" si="60"/>
        <v>0</v>
      </c>
      <c r="S82" s="2"/>
      <c r="T82" s="2">
        <v>0</v>
      </c>
      <c r="U82" s="2"/>
      <c r="V82" s="22">
        <f t="shared" si="61"/>
        <v>0</v>
      </c>
      <c r="W82" s="2"/>
      <c r="X82" s="2">
        <f t="shared" si="62"/>
        <v>1616.63</v>
      </c>
      <c r="Y82" s="2"/>
      <c r="Z82" s="22">
        <f t="shared" si="63"/>
        <v>0</v>
      </c>
    </row>
    <row r="83" spans="1:26" s="24" customFormat="1" hidden="1" outlineLevel="1" x14ac:dyDescent="0.25">
      <c r="A83" s="51"/>
      <c r="B83" s="11" t="str">
        <f>CONCATENATE("          ", "9160", " - ", "MISC. INCOME")</f>
        <v xml:space="preserve">          9160 - MISC. INCOME</v>
      </c>
      <c r="C83" s="11"/>
      <c r="D83" s="2">
        <f t="shared" si="64"/>
        <v>0</v>
      </c>
      <c r="E83" s="2"/>
      <c r="F83" s="22">
        <f t="shared" si="56"/>
        <v>0</v>
      </c>
      <c r="G83" s="2"/>
      <c r="H83" s="2"/>
      <c r="I83" s="2"/>
      <c r="J83" s="22">
        <f t="shared" si="57"/>
        <v>0</v>
      </c>
      <c r="K83" s="2"/>
      <c r="L83" s="2">
        <f t="shared" si="58"/>
        <v>0</v>
      </c>
      <c r="M83" s="2"/>
      <c r="N83" s="22">
        <f t="shared" si="59"/>
        <v>0</v>
      </c>
      <c r="O83" s="11"/>
      <c r="P83" s="2">
        <f>--816.35</f>
        <v>816.35</v>
      </c>
      <c r="Q83" s="2"/>
      <c r="R83" s="22">
        <f t="shared" si="60"/>
        <v>0</v>
      </c>
      <c r="S83" s="2"/>
      <c r="T83" s="2"/>
      <c r="U83" s="2"/>
      <c r="V83" s="22">
        <f t="shared" si="61"/>
        <v>0</v>
      </c>
      <c r="W83" s="2"/>
      <c r="X83" s="2">
        <f t="shared" si="62"/>
        <v>816.35</v>
      </c>
      <c r="Y83" s="2"/>
      <c r="Z83" s="22">
        <f t="shared" si="63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5" t="s">
        <v>3</v>
      </c>
      <c r="C85" s="25"/>
      <c r="D85" s="19">
        <f>+D16-D18+D81</f>
        <v>-35083.659999999996</v>
      </c>
      <c r="E85" s="13"/>
      <c r="F85" s="21">
        <f>IF(D$12=0,0,D85/D$12)</f>
        <v>0</v>
      </c>
      <c r="G85" s="13"/>
      <c r="H85" s="19">
        <f>+H16-H18+H81</f>
        <v>-17793.461538461539</v>
      </c>
      <c r="I85" s="13"/>
      <c r="J85" s="21">
        <f>IF(H$12=0,0,H85/H$12)</f>
        <v>0</v>
      </c>
      <c r="K85" s="15"/>
      <c r="L85" s="19">
        <f>+D85-H85</f>
        <v>-17290.198461538457</v>
      </c>
      <c r="M85" s="15"/>
      <c r="N85" s="21">
        <f>IF(H85=0,0,L85/H85)</f>
        <v>0.9717164040377837</v>
      </c>
      <c r="O85" s="26"/>
      <c r="P85" s="19">
        <f>+P16-P18+P81</f>
        <v>-222503.52000000005</v>
      </c>
      <c r="Q85" s="13"/>
      <c r="R85" s="21">
        <f>IF(P$12=0,0,P85/P$12)</f>
        <v>0</v>
      </c>
      <c r="S85" s="13"/>
      <c r="T85" s="19">
        <f>+T16-T18+T81</f>
        <v>-143419.53846153847</v>
      </c>
      <c r="U85" s="13"/>
      <c r="V85" s="21">
        <f>IF(T$12=0,0,T85/T$12)</f>
        <v>0</v>
      </c>
      <c r="W85" s="15"/>
      <c r="X85" s="19">
        <f>+P85-T85</f>
        <v>-79083.981538461579</v>
      </c>
      <c r="Y85" s="15"/>
      <c r="Z85" s="21">
        <f>IF(T85=0,0,X85/T85)</f>
        <v>0.55141706901859766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4</v>
      </c>
      <c r="C89" s="25"/>
      <c r="D89" s="34">
        <f>+D85-D87</f>
        <v>-35083.659999999996</v>
      </c>
      <c r="E89" s="13"/>
      <c r="F89" s="30">
        <f>IF(D$12=0,0,D89/D$12)</f>
        <v>0</v>
      </c>
      <c r="G89" s="13"/>
      <c r="H89" s="34">
        <f>+H85-H87</f>
        <v>-17793.461538461539</v>
      </c>
      <c r="I89" s="13"/>
      <c r="J89" s="30">
        <f>IF(H$12=0,0,H89/H$12)</f>
        <v>0</v>
      </c>
      <c r="K89" s="15"/>
      <c r="L89" s="34">
        <f>D89-H89</f>
        <v>-17290.198461538457</v>
      </c>
      <c r="M89" s="15"/>
      <c r="N89" s="30">
        <f>IF(H89=0,0,L89/H89)</f>
        <v>0.9717164040377837</v>
      </c>
      <c r="O89" s="26"/>
      <c r="P89" s="34">
        <f>+P85-P87</f>
        <v>-222503.52000000005</v>
      </c>
      <c r="Q89" s="13"/>
      <c r="R89" s="30">
        <f>IF(P$12=0,0,P89/P$12)</f>
        <v>0</v>
      </c>
      <c r="S89" s="13"/>
      <c r="T89" s="34">
        <f>+T85-T87</f>
        <v>-143419.53846153847</v>
      </c>
      <c r="U89" s="13"/>
      <c r="V89" s="30">
        <f>IF(T$12=0,0,T89/T$12)</f>
        <v>0</v>
      </c>
      <c r="W89" s="15"/>
      <c r="X89" s="34">
        <f>P89-T89</f>
        <v>-79083.981538461579</v>
      </c>
      <c r="Y89" s="15"/>
      <c r="Z89" s="30">
        <f>IF(T89=0,0,X89/T89)</f>
        <v>0.55141706901859766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5</v>
      </c>
      <c r="C92" s="25"/>
      <c r="D92" s="35">
        <f>SUM(D89:D91)</f>
        <v>-35083.659999999996</v>
      </c>
      <c r="E92" s="13"/>
      <c r="F92" s="31">
        <f>IF(D$12=0,0,D92/D$12)</f>
        <v>0</v>
      </c>
      <c r="G92" s="13"/>
      <c r="H92" s="35">
        <f>SUM(H89:H91)</f>
        <v>-17793.461538461539</v>
      </c>
      <c r="I92" s="13"/>
      <c r="J92" s="31">
        <f>IF(H$12=0,0,H92/H$12)</f>
        <v>0</v>
      </c>
      <c r="K92" s="15"/>
      <c r="L92" s="35">
        <f>+D92-H92</f>
        <v>-17290.198461538457</v>
      </c>
      <c r="M92" s="15"/>
      <c r="N92" s="31">
        <f>IF(H92=0,0,L92/H92)</f>
        <v>0.9717164040377837</v>
      </c>
      <c r="O92" s="26"/>
      <c r="P92" s="35">
        <f>SUM(P89:P91)</f>
        <v>-222503.52000000005</v>
      </c>
      <c r="Q92" s="13"/>
      <c r="R92" s="31">
        <f>IF(P$12=0,0,P92/P$12)</f>
        <v>0</v>
      </c>
      <c r="S92" s="13"/>
      <c r="T92" s="35">
        <f>SUM(T89:T91)</f>
        <v>-143419.53846153847</v>
      </c>
      <c r="U92" s="13"/>
      <c r="V92" s="31">
        <f>IF(T$12=0,0,T92/T$12)</f>
        <v>0</v>
      </c>
      <c r="W92" s="15"/>
      <c r="X92" s="35">
        <f>+P92-T92</f>
        <v>-79083.981538461579</v>
      </c>
      <c r="Y92" s="15"/>
      <c r="Z92" s="31">
        <f>IF(T92=0,0,X92/T92)</f>
        <v>0.55141706901859766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3">
        <v>44267.672069826389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2" t="s">
        <v>314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>
        <f>D12-D15</f>
        <v>0</v>
      </c>
      <c r="E18" s="13"/>
      <c r="F18" s="21">
        <f>IF(D$12=0,0,D18/D$12)</f>
        <v>0</v>
      </c>
      <c r="G18" s="13"/>
      <c r="H18" s="19">
        <f>H12-H15</f>
        <v>0</v>
      </c>
      <c r="I18" s="13"/>
      <c r="J18" s="21">
        <f>IF(H$12=0,0,H18/H$12)</f>
        <v>0</v>
      </c>
      <c r="K18" s="15"/>
      <c r="L18" s="19">
        <f>+D18-H18</f>
        <v>0</v>
      </c>
      <c r="M18" s="15"/>
      <c r="N18" s="21">
        <f>IF(H18=0,0,L18/H18)</f>
        <v>0</v>
      </c>
      <c r="O18" s="26"/>
      <c r="P18" s="19">
        <f>P12-P15</f>
        <v>0</v>
      </c>
      <c r="Q18" s="13"/>
      <c r="R18" s="21">
        <f>IF(P$12=0,0,P18/P$12)</f>
        <v>0</v>
      </c>
      <c r="S18" s="13"/>
      <c r="T18" s="19">
        <f>T12-T15</f>
        <v>0</v>
      </c>
      <c r="U18" s="13"/>
      <c r="V18" s="21">
        <f>IF(T$12=0,0,T18/T$12)</f>
        <v>0</v>
      </c>
      <c r="W18" s="15"/>
      <c r="X18" s="19">
        <f>+P18-T18</f>
        <v>0</v>
      </c>
      <c r="Y18" s="15"/>
      <c r="Z18" s="21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>
        <f>SUM(OSRRefD22x_0)</f>
        <v>613.36</v>
      </c>
      <c r="E20" s="20"/>
      <c r="F20" s="33">
        <f t="shared" ref="F20:F29" si="12">IF(D$12=0,0,D20/D$12)</f>
        <v>0</v>
      </c>
      <c r="G20" s="20"/>
      <c r="H20" s="20">
        <f>SUM(OSRRefH22x_0)</f>
        <v>848</v>
      </c>
      <c r="I20" s="20"/>
      <c r="J20" s="33">
        <f t="shared" ref="J20:J29" si="13">IF(H$12=0,0,H20/H$12)</f>
        <v>0</v>
      </c>
      <c r="K20" s="4"/>
      <c r="L20" s="20">
        <f t="shared" ref="L20:L29" si="14">+D20-H20</f>
        <v>-234.64</v>
      </c>
      <c r="M20" s="4"/>
      <c r="N20" s="33">
        <f t="shared" ref="N20:N29" si="15">IF(H20=0,0,L20/H20)</f>
        <v>-0.27669811320754717</v>
      </c>
      <c r="O20" s="10"/>
      <c r="P20" s="20">
        <f>SUM(OSRRefP22x_0)</f>
        <v>7276.2499999999991</v>
      </c>
      <c r="Q20" s="20"/>
      <c r="R20" s="33">
        <f t="shared" ref="R20:R29" si="16">IF(P$12=0,0,P20/P$12)</f>
        <v>0</v>
      </c>
      <c r="S20" s="20"/>
      <c r="T20" s="20">
        <f>SUM(OSRRefT22x_0)</f>
        <v>6784</v>
      </c>
      <c r="U20" s="20"/>
      <c r="V20" s="33">
        <f t="shared" ref="V20:V29" si="17">IF(T$12=0,0,T20/T$12)</f>
        <v>0</v>
      </c>
      <c r="W20" s="4"/>
      <c r="X20" s="20">
        <f t="shared" ref="X20:X29" si="18">+P20-T20</f>
        <v>492.24999999999909</v>
      </c>
      <c r="Y20" s="4"/>
      <c r="Z20" s="33">
        <f t="shared" ref="Z20:Z29" si="19">IF(T20=0,0,X20/T20)</f>
        <v>7.2560436320754582E-2</v>
      </c>
    </row>
    <row r="21" spans="1:26" s="28" customFormat="1" outlineLevel="1" collapsed="1" x14ac:dyDescent="0.25">
      <c r="A21" s="29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7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7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7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7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7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4"/>
      <c r="P45" s="1">
        <f>SUM(OSRRefP22_4x_0)</f>
        <v>4957.87</v>
      </c>
      <c r="Q45" s="1"/>
      <c r="R45" s="5">
        <f t="shared" si="32"/>
        <v>0</v>
      </c>
      <c r="S45" s="1"/>
      <c r="T45" s="1">
        <f>SUM(OSRRefT22_4x_0)</f>
        <v>6784</v>
      </c>
      <c r="U45" s="1"/>
      <c r="V45" s="5">
        <f t="shared" si="33"/>
        <v>0</v>
      </c>
      <c r="W45" s="1"/>
      <c r="X45" s="1">
        <f t="shared" si="34"/>
        <v>-1826.13</v>
      </c>
      <c r="Y45" s="1"/>
      <c r="Z45" s="5">
        <f t="shared" si="35"/>
        <v>-0.26918189858490565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4957.87</v>
      </c>
      <c r="Q46" s="2"/>
      <c r="R46" s="6">
        <f t="shared" si="32"/>
        <v>0</v>
      </c>
      <c r="S46" s="2"/>
      <c r="T46" s="7">
        <v>2384</v>
      </c>
      <c r="U46" s="2"/>
      <c r="V46" s="6">
        <f t="shared" si="33"/>
        <v>0</v>
      </c>
      <c r="W46" s="2"/>
      <c r="X46" s="7">
        <f t="shared" si="34"/>
        <v>2573.87</v>
      </c>
      <c r="Y46" s="2"/>
      <c r="Z46" s="6">
        <f t="shared" si="35"/>
        <v>1.0796434563758388</v>
      </c>
    </row>
    <row r="47" spans="1:26" s="24" customFormat="1" hidden="1" outlineLevel="2" x14ac:dyDescent="0.25">
      <c r="A47" s="27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4400</v>
      </c>
      <c r="U47" s="2"/>
      <c r="V47" s="6">
        <f t="shared" si="33"/>
        <v>0</v>
      </c>
      <c r="W47" s="2"/>
      <c r="X47" s="7">
        <f t="shared" si="34"/>
        <v>-4400</v>
      </c>
      <c r="Y47" s="2"/>
      <c r="Z47" s="6">
        <f t="shared" si="35"/>
        <v>-1</v>
      </c>
    </row>
    <row r="48" spans="1:26" s="28" customFormat="1" outlineLevel="1" collapsed="1" x14ac:dyDescent="0.25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8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8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8" customFormat="1" outlineLevel="1" collapsed="1" x14ac:dyDescent="0.25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0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4"/>
      <c r="P54" s="1">
        <f>SUM(OSRRefP22_8x_0)</f>
        <v>1616.5300000000002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1616.5300000000002</v>
      </c>
      <c r="Y54" s="1"/>
      <c r="Z54" s="5">
        <f t="shared" si="43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>
        <v>278.39999999999998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278.39999999999998</v>
      </c>
      <c r="Y55" s="2"/>
      <c r="Z55" s="6">
        <f t="shared" si="43"/>
        <v>0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8" customFormat="1" outlineLevel="1" collapsed="1" x14ac:dyDescent="0.25">
      <c r="A57" s="29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7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8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7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7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7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8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7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>
        <v>0</v>
      </c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7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7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>
        <v>0</v>
      </c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8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4"/>
      <c r="P70" s="1">
        <f>SUM(OSRRefP22_12x_0)</f>
        <v>365.03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365.03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7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365.03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365.03</v>
      </c>
      <c r="Y72" s="2"/>
      <c r="Z72" s="6">
        <f t="shared" si="67"/>
        <v>0</v>
      </c>
    </row>
    <row r="73" spans="1:26" s="28" customFormat="1" outlineLevel="1" collapsed="1" x14ac:dyDescent="0.25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7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58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19">
        <f>+D18-D20+D76</f>
        <v>-613.36</v>
      </c>
      <c r="E78" s="13"/>
      <c r="F78" s="21">
        <f>IF(D$12=0,0,D78/D$12)</f>
        <v>0</v>
      </c>
      <c r="G78" s="13"/>
      <c r="H78" s="19">
        <f>+H18-H20+H76</f>
        <v>-848</v>
      </c>
      <c r="I78" s="13"/>
      <c r="J78" s="21">
        <f>IF(H$12=0,0,H78/H$12)</f>
        <v>0</v>
      </c>
      <c r="K78" s="15"/>
      <c r="L78" s="19">
        <f>+D78-H78</f>
        <v>234.64</v>
      </c>
      <c r="M78" s="15"/>
      <c r="N78" s="21">
        <f>IF(H78=0,0,L78/H78)</f>
        <v>-0.27669811320754717</v>
      </c>
      <c r="O78" s="26"/>
      <c r="P78" s="19">
        <f>+P18-P20+P76</f>
        <v>-7276.2499999999991</v>
      </c>
      <c r="Q78" s="13"/>
      <c r="R78" s="21">
        <f>IF(P$12=0,0,P78/P$12)</f>
        <v>0</v>
      </c>
      <c r="S78" s="13"/>
      <c r="T78" s="19">
        <f>+T18-T20+T76</f>
        <v>-6784</v>
      </c>
      <c r="U78" s="13"/>
      <c r="V78" s="21">
        <f>IF(T$12=0,0,T78/T$12)</f>
        <v>0</v>
      </c>
      <c r="W78" s="15"/>
      <c r="X78" s="19">
        <f>+P78-T78</f>
        <v>-492.24999999999909</v>
      </c>
      <c r="Y78" s="15"/>
      <c r="Z78" s="21">
        <f>IF(T78=0,0,X78/T78)</f>
        <v>7.2560436320754582E-2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4">
        <f>+D78-D80</f>
        <v>-613.36</v>
      </c>
      <c r="E82" s="13"/>
      <c r="F82" s="30">
        <f>IF(D$12=0,0,D82/D$12)</f>
        <v>0</v>
      </c>
      <c r="G82" s="13"/>
      <c r="H82" s="34">
        <f>+H78-H80</f>
        <v>-848</v>
      </c>
      <c r="I82" s="13"/>
      <c r="J82" s="30">
        <f>IF(H$12=0,0,H82/H$12)</f>
        <v>0</v>
      </c>
      <c r="K82" s="15"/>
      <c r="L82" s="34">
        <f>D82-H82</f>
        <v>234.64</v>
      </c>
      <c r="M82" s="15"/>
      <c r="N82" s="30">
        <f>IF(H82=0,0,L82/H82)</f>
        <v>-0.27669811320754717</v>
      </c>
      <c r="O82" s="26"/>
      <c r="P82" s="34">
        <f>+P78-P80</f>
        <v>-7276.2499999999991</v>
      </c>
      <c r="Q82" s="13"/>
      <c r="R82" s="30">
        <f>IF(P$12=0,0,P82/P$12)</f>
        <v>0</v>
      </c>
      <c r="S82" s="13"/>
      <c r="T82" s="34">
        <f>+T78-T80</f>
        <v>-6784</v>
      </c>
      <c r="U82" s="13"/>
      <c r="V82" s="30">
        <f>IF(T$12=0,0,T82/T$12)</f>
        <v>0</v>
      </c>
      <c r="W82" s="15"/>
      <c r="X82" s="34">
        <f>P82-T82</f>
        <v>-492.24999999999909</v>
      </c>
      <c r="Y82" s="15"/>
      <c r="Z82" s="30">
        <f>IF(T82=0,0,X82/T82)</f>
        <v>7.2560436320754582E-2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5">
        <f>SUM(D82:D84)</f>
        <v>-613.36</v>
      </c>
      <c r="E85" s="13"/>
      <c r="F85" s="31">
        <f>IF(D$12=0,0,D85/D$12)</f>
        <v>0</v>
      </c>
      <c r="G85" s="13"/>
      <c r="H85" s="35">
        <f>SUM(H82:H84)</f>
        <v>-848</v>
      </c>
      <c r="I85" s="13"/>
      <c r="J85" s="31">
        <f>IF(H$12=0,0,H85/H$12)</f>
        <v>0</v>
      </c>
      <c r="K85" s="15"/>
      <c r="L85" s="35">
        <f>+D85-H85</f>
        <v>234.64</v>
      </c>
      <c r="M85" s="15"/>
      <c r="N85" s="31">
        <f>IF(H85=0,0,L85/H85)</f>
        <v>-0.27669811320754717</v>
      </c>
      <c r="O85" s="26"/>
      <c r="P85" s="35">
        <f>SUM(P82:P84)</f>
        <v>-7276.2499999999991</v>
      </c>
      <c r="Q85" s="13"/>
      <c r="R85" s="31">
        <f>IF(P$12=0,0,P85/P$12)</f>
        <v>0</v>
      </c>
      <c r="S85" s="13"/>
      <c r="T85" s="35">
        <f>SUM(T82:T84)</f>
        <v>-6784</v>
      </c>
      <c r="U85" s="13"/>
      <c r="V85" s="31">
        <f>IF(T$12=0,0,T85/T$12)</f>
        <v>0</v>
      </c>
      <c r="W85" s="15"/>
      <c r="X85" s="35">
        <f>+P85-T85</f>
        <v>-492.24999999999909</v>
      </c>
      <c r="Y85" s="15"/>
      <c r="Z85" s="31">
        <f>IF(T85=0,0,X85/T85)</f>
        <v>7.2560436320754582E-2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3">
        <v>44267.672081793979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7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0</v>
      </c>
      <c r="I19" s="13"/>
      <c r="J19" s="21">
        <f>IF(H$12=0,0,H19/H$12)</f>
        <v>0</v>
      </c>
      <c r="K19" s="15"/>
      <c r="L19" s="19">
        <f>+D19-H19</f>
        <v>0</v>
      </c>
      <c r="M19" s="15"/>
      <c r="N19" s="21">
        <f>IF(H19=0,0,L19/H19)</f>
        <v>0</v>
      </c>
      <c r="O19" s="26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0</v>
      </c>
      <c r="U19" s="13"/>
      <c r="V19" s="21">
        <f>IF(T$12=0,0,T19/T$12)</f>
        <v>0</v>
      </c>
      <c r="W19" s="15"/>
      <c r="X19" s="19">
        <f>+P19-T19</f>
        <v>0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58.03</v>
      </c>
      <c r="E21" s="20"/>
      <c r="F21" s="33">
        <f t="shared" ref="F21:F31" si="14">IF(D$12=0,0,D21/D$12)</f>
        <v>0</v>
      </c>
      <c r="G21" s="20"/>
      <c r="H21" s="20">
        <f>SUM(OSRRefH22x_0)</f>
        <v>630</v>
      </c>
      <c r="I21" s="20"/>
      <c r="J21" s="33">
        <f t="shared" ref="J21:J31" si="15">IF(H$12=0,0,H21/H$12)</f>
        <v>0</v>
      </c>
      <c r="K21" s="4"/>
      <c r="L21" s="20">
        <f t="shared" ref="L21:L31" si="16">+D21-H21</f>
        <v>-571.97</v>
      </c>
      <c r="M21" s="4"/>
      <c r="N21" s="33">
        <f t="shared" ref="N21:N31" si="17">IF(H21=0,0,L21/H21)</f>
        <v>-0.90788888888888897</v>
      </c>
      <c r="O21" s="10"/>
      <c r="P21" s="20">
        <f>SUM(OSRRefP22x_0)</f>
        <v>4963.57</v>
      </c>
      <c r="Q21" s="20"/>
      <c r="R21" s="33">
        <f t="shared" ref="R21:R31" si="18">IF(P$12=0,0,P21/P$12)</f>
        <v>0</v>
      </c>
      <c r="S21" s="20"/>
      <c r="T21" s="20">
        <f>SUM(OSRRefT22x_0)</f>
        <v>5040</v>
      </c>
      <c r="U21" s="20"/>
      <c r="V21" s="33">
        <f t="shared" ref="V21:V31" si="19">IF(T$12=0,0,T21/T$12)</f>
        <v>0</v>
      </c>
      <c r="W21" s="4"/>
      <c r="X21" s="20">
        <f t="shared" ref="X21:X31" si="20">+P21-T21</f>
        <v>-76.430000000000291</v>
      </c>
      <c r="Y21" s="4"/>
      <c r="Z21" s="33">
        <f t="shared" ref="Z21:Z31" si="21">IF(T21=0,0,X21/T21)</f>
        <v>-1.5164682539682598E-2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8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9" si="30">IF(D$12=0,0,D43/D$12)</f>
        <v>0</v>
      </c>
      <c r="G43" s="1"/>
      <c r="H43" s="1">
        <f>SUM(OSRRefH22_2x_0)</f>
        <v>0</v>
      </c>
      <c r="I43" s="1"/>
      <c r="J43" s="5">
        <f t="shared" ref="J43:J59" si="31">IF(H$12=0,0,H43/H$12)</f>
        <v>0</v>
      </c>
      <c r="K43" s="1"/>
      <c r="L43" s="1">
        <f t="shared" ref="L43:L59" si="32">+D43-H43</f>
        <v>0</v>
      </c>
      <c r="M43" s="1"/>
      <c r="N43" s="5">
        <f t="shared" ref="N43:N59" si="33">IF(H43=0,0,L43/H43)</f>
        <v>0</v>
      </c>
      <c r="O43" s="14"/>
      <c r="P43" s="1">
        <f>SUM(OSRRefP22_2x_0)</f>
        <v>0</v>
      </c>
      <c r="Q43" s="1"/>
      <c r="R43" s="5">
        <f t="shared" ref="R43:R59" si="34">IF(P$12=0,0,P43/P$12)</f>
        <v>0</v>
      </c>
      <c r="S43" s="1"/>
      <c r="T43" s="1">
        <f>SUM(OSRRefT22_2x_0)</f>
        <v>0</v>
      </c>
      <c r="U43" s="1"/>
      <c r="V43" s="5">
        <f t="shared" ref="V43:V59" si="35">IF(T$12=0,0,T43/T$12)</f>
        <v>0</v>
      </c>
      <c r="W43" s="1"/>
      <c r="X43" s="1">
        <f t="shared" ref="X43:X59" si="36">+P43-T43</f>
        <v>0</v>
      </c>
      <c r="Y43" s="1"/>
      <c r="Z43" s="5">
        <f t="shared" ref="Z43:Z59" si="37">IF(T43=0,0,X43/T43)</f>
        <v>0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25">
      <c r="A45" s="29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7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8" customFormat="1" outlineLevel="1" collapsed="1" x14ac:dyDescent="0.25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8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464.24</v>
      </c>
      <c r="Q49" s="1"/>
      <c r="R49" s="5">
        <f t="shared" si="34"/>
        <v>0</v>
      </c>
      <c r="S49" s="1"/>
      <c r="T49" s="1">
        <f>SUM(OSRRefT22_5x_0)</f>
        <v>5040</v>
      </c>
      <c r="U49" s="1"/>
      <c r="V49" s="5">
        <f t="shared" si="35"/>
        <v>0</v>
      </c>
      <c r="W49" s="1"/>
      <c r="X49" s="1">
        <f t="shared" si="36"/>
        <v>-4575.76</v>
      </c>
      <c r="Y49" s="1"/>
      <c r="Z49" s="5">
        <f t="shared" si="37"/>
        <v>-0.90788888888888897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464.24</v>
      </c>
      <c r="Q50" s="2"/>
      <c r="R50" s="6">
        <f t="shared" si="34"/>
        <v>0</v>
      </c>
      <c r="S50" s="2"/>
      <c r="T50" s="7">
        <v>5040</v>
      </c>
      <c r="U50" s="2"/>
      <c r="V50" s="6">
        <f t="shared" si="35"/>
        <v>0</v>
      </c>
      <c r="W50" s="2"/>
      <c r="X50" s="7">
        <f t="shared" si="36"/>
        <v>-4575.76</v>
      </c>
      <c r="Y50" s="2"/>
      <c r="Z50" s="6">
        <f t="shared" si="37"/>
        <v>-0.90788888888888897</v>
      </c>
    </row>
    <row r="51" spans="1:26" s="28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8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4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>
        <v>0</v>
      </c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8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4"/>
      <c r="P55" s="1">
        <f>SUM(OSRRefP22_8x_0)</f>
        <v>410.1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410.1</v>
      </c>
      <c r="Y55" s="1"/>
      <c r="Z55" s="5">
        <f t="shared" si="37"/>
        <v>0</v>
      </c>
    </row>
    <row r="56" spans="1:26" s="24" customFormat="1" hidden="1" outlineLevel="2" x14ac:dyDescent="0.25">
      <c r="A56" s="27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7"/>
      <c r="B57" s="11" t="str">
        <f>CONCATENATE("          ", "6372", " - ", "COMPUTER HARDWARE MAINTENANCE")</f>
        <v xml:space="preserve">          6372 - COMPUTER HARDWARE MAINTENANCE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/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0</v>
      </c>
      <c r="Y57" s="2"/>
      <c r="Z57" s="6">
        <f t="shared" si="37"/>
        <v>0</v>
      </c>
    </row>
    <row r="58" spans="1:26" s="24" customFormat="1" hidden="1" outlineLevel="2" x14ac:dyDescent="0.25">
      <c r="A58" s="27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410.1</v>
      </c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410.1</v>
      </c>
      <c r="Y58" s="2"/>
      <c r="Z58" s="6">
        <f t="shared" si="37"/>
        <v>0</v>
      </c>
    </row>
    <row r="59" spans="1:26" s="24" customFormat="1" hidden="1" outlineLevel="2" x14ac:dyDescent="0.25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0"/>
        <v>0</v>
      </c>
      <c r="G59" s="2"/>
      <c r="H59" s="7">
        <v>0</v>
      </c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0</v>
      </c>
      <c r="U59" s="2"/>
      <c r="V59" s="6">
        <f t="shared" si="35"/>
        <v>0</v>
      </c>
      <c r="W59" s="2"/>
      <c r="X59" s="7">
        <f t="shared" si="36"/>
        <v>0</v>
      </c>
      <c r="Y59" s="2"/>
      <c r="Z59" s="6">
        <f t="shared" si="37"/>
        <v>0</v>
      </c>
    </row>
    <row r="60" spans="1:26" s="28" customFormat="1" outlineLevel="1" collapsed="1" x14ac:dyDescent="0.25">
      <c r="A60" s="29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2" si="38">IF(D$12=0,0,D60/D$12)</f>
        <v>0</v>
      </c>
      <c r="G60" s="1"/>
      <c r="H60" s="1">
        <f>SUM(OSRRefH22_9x_0)</f>
        <v>0</v>
      </c>
      <c r="I60" s="1"/>
      <c r="J60" s="5">
        <f t="shared" ref="J60:J62" si="39">IF(H$12=0,0,H60/H$12)</f>
        <v>0</v>
      </c>
      <c r="K60" s="1"/>
      <c r="L60" s="1">
        <f t="shared" ref="L60:L62" si="40">+D60-H60</f>
        <v>0</v>
      </c>
      <c r="M60" s="1"/>
      <c r="N60" s="5">
        <f t="shared" ref="N60:N62" si="41">IF(H60=0,0,L60/H60)</f>
        <v>0</v>
      </c>
      <c r="O60" s="14"/>
      <c r="P60" s="1">
        <f>SUM(OSRRefP22_9x_0)</f>
        <v>286.62</v>
      </c>
      <c r="Q60" s="1"/>
      <c r="R60" s="5">
        <f t="shared" ref="R60:R62" si="42">IF(P$12=0,0,P60/P$12)</f>
        <v>0</v>
      </c>
      <c r="S60" s="1"/>
      <c r="T60" s="1">
        <f>SUM(OSRRefT22_9x_0)</f>
        <v>0</v>
      </c>
      <c r="U60" s="1"/>
      <c r="V60" s="5">
        <f t="shared" ref="V60:V62" si="43">IF(T$12=0,0,T60/T$12)</f>
        <v>0</v>
      </c>
      <c r="W60" s="1"/>
      <c r="X60" s="1">
        <f t="shared" ref="X60:X62" si="44">+P60-T60</f>
        <v>286.62</v>
      </c>
      <c r="Y60" s="1"/>
      <c r="Z60" s="5">
        <f t="shared" ref="Z60:Z62" si="45">IF(T60=0,0,X60/T60)</f>
        <v>0</v>
      </c>
    </row>
    <row r="61" spans="1:26" s="24" customFormat="1" hidden="1" outlineLevel="2" x14ac:dyDescent="0.25">
      <c r="A61" s="27"/>
      <c r="B61" s="11" t="str">
        <f>CONCATENATE("          ", "6282", " - ", "JANITORIAL/EXTERMINATOR EXPENS")</f>
        <v xml:space="preserve">          6282 - JANITORIAL/EXTERMINATOR EXPENS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>
        <v>286.62</v>
      </c>
      <c r="Q61" s="2"/>
      <c r="R61" s="6">
        <f t="shared" si="42"/>
        <v>0</v>
      </c>
      <c r="S61" s="2"/>
      <c r="T61" s="7"/>
      <c r="U61" s="2"/>
      <c r="V61" s="6">
        <f t="shared" si="43"/>
        <v>0</v>
      </c>
      <c r="W61" s="2"/>
      <c r="X61" s="7">
        <f t="shared" si="44"/>
        <v>286.62</v>
      </c>
      <c r="Y61" s="2"/>
      <c r="Z61" s="6">
        <f t="shared" si="45"/>
        <v>0</v>
      </c>
    </row>
    <row r="62" spans="1:26" s="24" customFormat="1" hidden="1" outlineLevel="2" x14ac:dyDescent="0.25">
      <c r="A62" s="27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8"/>
        <v>0</v>
      </c>
      <c r="G62" s="2"/>
      <c r="H62" s="7">
        <v>0</v>
      </c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0</v>
      </c>
      <c r="U62" s="2"/>
      <c r="V62" s="6">
        <f t="shared" si="43"/>
        <v>0</v>
      </c>
      <c r="W62" s="2"/>
      <c r="X62" s="7">
        <f t="shared" si="44"/>
        <v>0</v>
      </c>
      <c r="Y62" s="2"/>
      <c r="Z62" s="6">
        <f t="shared" si="45"/>
        <v>0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SUM(OSRRefD22_10x_0)</f>
        <v>0</v>
      </c>
      <c r="E63" s="1"/>
      <c r="F63" s="5">
        <f t="shared" ref="F63:F71" si="46">IF(D$12=0,0,D63/D$12)</f>
        <v>0</v>
      </c>
      <c r="G63" s="1"/>
      <c r="H63" s="1">
        <f>SUM(OSRRefH22_10x_0)</f>
        <v>0</v>
      </c>
      <c r="I63" s="1"/>
      <c r="J63" s="5">
        <f t="shared" ref="J63:J71" si="47">IF(H$12=0,0,H63/H$12)</f>
        <v>0</v>
      </c>
      <c r="K63" s="1"/>
      <c r="L63" s="1">
        <f t="shared" ref="L63:L71" si="48">+D63-H63</f>
        <v>0</v>
      </c>
      <c r="M63" s="1"/>
      <c r="N63" s="5">
        <f t="shared" ref="N63:N71" si="49">IF(H63=0,0,L63/H63)</f>
        <v>0</v>
      </c>
      <c r="O63" s="14"/>
      <c r="P63" s="1">
        <f>SUM(OSRRefP22_10x_0)</f>
        <v>0</v>
      </c>
      <c r="Q63" s="1"/>
      <c r="R63" s="5">
        <f t="shared" ref="R63:R71" si="50">IF(P$12=0,0,P63/P$12)</f>
        <v>0</v>
      </c>
      <c r="S63" s="1"/>
      <c r="T63" s="1">
        <f>SUM(OSRRefT22_10x_0)</f>
        <v>0</v>
      </c>
      <c r="U63" s="1"/>
      <c r="V63" s="5">
        <f t="shared" ref="V63:V71" si="51">IF(T$12=0,0,T63/T$12)</f>
        <v>0</v>
      </c>
      <c r="W63" s="1"/>
      <c r="X63" s="1">
        <f t="shared" ref="X63:X71" si="52">+P63-T63</f>
        <v>0</v>
      </c>
      <c r="Y63" s="1"/>
      <c r="Z63" s="5">
        <f t="shared" ref="Z63:Z71" si="53">IF(T63=0,0,X63/T63)</f>
        <v>0</v>
      </c>
    </row>
    <row r="64" spans="1:26" s="24" customFormat="1" hidden="1" outlineLevel="2" x14ac:dyDescent="0.25">
      <c r="A64" s="27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7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46"/>
        <v>0</v>
      </c>
      <c r="G66" s="2"/>
      <c r="H66" s="7"/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46"/>
        <v>0</v>
      </c>
      <c r="G67" s="2"/>
      <c r="H67" s="7">
        <v>0</v>
      </c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7"/>
      <c r="B68" s="11" t="str">
        <f>CONCATENATE("          ", "6244", " - ", "SAFETY SUPPLY EXPENSE")</f>
        <v xml:space="preserve">          6244 - SAFETY SUPPLY EXPENSE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7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7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4" customFormat="1" hidden="1" outlineLevel="2" x14ac:dyDescent="0.25">
      <c r="A71" s="27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46"/>
        <v>0</v>
      </c>
      <c r="G71" s="2"/>
      <c r="H71" s="7"/>
      <c r="I71" s="2"/>
      <c r="J71" s="6">
        <f t="shared" si="47"/>
        <v>0</v>
      </c>
      <c r="K71" s="2"/>
      <c r="L71" s="7">
        <f t="shared" si="48"/>
        <v>0</v>
      </c>
      <c r="M71" s="2"/>
      <c r="N71" s="6">
        <f t="shared" si="49"/>
        <v>0</v>
      </c>
      <c r="O71" s="11"/>
      <c r="P71" s="7"/>
      <c r="Q71" s="2"/>
      <c r="R71" s="6">
        <f t="shared" si="50"/>
        <v>0</v>
      </c>
      <c r="S71" s="2"/>
      <c r="T71" s="7">
        <v>0</v>
      </c>
      <c r="U71" s="2"/>
      <c r="V71" s="6">
        <f t="shared" si="51"/>
        <v>0</v>
      </c>
      <c r="W71" s="2"/>
      <c r="X71" s="7">
        <f t="shared" si="52"/>
        <v>0</v>
      </c>
      <c r="Y71" s="2"/>
      <c r="Z71" s="6">
        <f t="shared" si="53"/>
        <v>0</v>
      </c>
    </row>
    <row r="72" spans="1:26" s="28" customFormat="1" outlineLevel="1" collapsed="1" x14ac:dyDescent="0.25">
      <c r="A72" s="29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SUM(OSRRefD22_11x_0)</f>
        <v>0</v>
      </c>
      <c r="E72" s="1"/>
      <c r="F72" s="5">
        <f t="shared" ref="F72:F74" si="54">IF(D$12=0,0,D72/D$12)</f>
        <v>0</v>
      </c>
      <c r="G72" s="1"/>
      <c r="H72" s="1">
        <f>SUM(OSRRefH22_11x_0)</f>
        <v>0</v>
      </c>
      <c r="I72" s="1"/>
      <c r="J72" s="5">
        <f t="shared" ref="J72:J74" si="55">IF(H$12=0,0,H72/H$12)</f>
        <v>0</v>
      </c>
      <c r="K72" s="1"/>
      <c r="L72" s="1">
        <f t="shared" ref="L72:L74" si="56">+D72-H72</f>
        <v>0</v>
      </c>
      <c r="M72" s="1"/>
      <c r="N72" s="5">
        <f t="shared" ref="N72:N74" si="57">IF(H72=0,0,L72/H72)</f>
        <v>0</v>
      </c>
      <c r="O72" s="14"/>
      <c r="P72" s="1">
        <f>SUM(OSRRefP22_11x_0)</f>
        <v>49.7</v>
      </c>
      <c r="Q72" s="1"/>
      <c r="R72" s="5">
        <f t="shared" ref="R72:R74" si="58">IF(P$12=0,0,P72/P$12)</f>
        <v>0</v>
      </c>
      <c r="S72" s="1"/>
      <c r="T72" s="1">
        <f>SUM(OSRRefT22_11x_0)</f>
        <v>0</v>
      </c>
      <c r="U72" s="1"/>
      <c r="V72" s="5">
        <f t="shared" ref="V72:V74" si="59">IF(T$12=0,0,T72/T$12)</f>
        <v>0</v>
      </c>
      <c r="W72" s="1"/>
      <c r="X72" s="1">
        <f t="shared" ref="X72:X74" si="60">+P72-T72</f>
        <v>49.7</v>
      </c>
      <c r="Y72" s="1"/>
      <c r="Z72" s="5">
        <f t="shared" ref="Z72:Z74" si="61">IF(T72=0,0,X72/T72)</f>
        <v>0</v>
      </c>
    </row>
    <row r="73" spans="1:26" s="24" customFormat="1" hidden="1" outlineLevel="2" x14ac:dyDescent="0.25">
      <c r="A73" s="27"/>
      <c r="B73" s="11" t="str">
        <f>CONCATENATE("          ", "6303", " - ", "DATA PHONE LINES")</f>
        <v xml:space="preserve">          6303 - DATA PHONE LINES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>
        <v>49.7</v>
      </c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49.7</v>
      </c>
      <c r="Y74" s="2"/>
      <c r="Z74" s="6">
        <f t="shared" si="61"/>
        <v>0</v>
      </c>
    </row>
    <row r="75" spans="1:26" s="28" customFormat="1" outlineLevel="1" collapsed="1" x14ac:dyDescent="0.25">
      <c r="A75" s="29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SUM(OSRRefD22_12x_0)</f>
        <v>0</v>
      </c>
      <c r="E75" s="1"/>
      <c r="F75" s="5">
        <f t="shared" ref="F75:F76" si="62">IF(D$12=0,0,D75/D$12)</f>
        <v>0</v>
      </c>
      <c r="G75" s="1"/>
      <c r="H75" s="1">
        <f>SUM(OSRRefH22_12x_0)</f>
        <v>0</v>
      </c>
      <c r="I75" s="1"/>
      <c r="J75" s="5">
        <f t="shared" ref="J75:J76" si="63">IF(H$12=0,0,H75/H$12)</f>
        <v>0</v>
      </c>
      <c r="K75" s="1"/>
      <c r="L75" s="1">
        <f t="shared" ref="L75:L76" si="64">+D75-H75</f>
        <v>0</v>
      </c>
      <c r="M75" s="1"/>
      <c r="N75" s="5">
        <f t="shared" ref="N75:N76" si="65">IF(H75=0,0,L75/H75)</f>
        <v>0</v>
      </c>
      <c r="O75" s="14"/>
      <c r="P75" s="1">
        <f>SUM(OSRRefP22_12x_0)</f>
        <v>0</v>
      </c>
      <c r="Q75" s="1"/>
      <c r="R75" s="5">
        <f t="shared" ref="R75:R76" si="66">IF(P$12=0,0,P75/P$12)</f>
        <v>0</v>
      </c>
      <c r="S75" s="1"/>
      <c r="T75" s="1">
        <f>SUM(OSRRefT22_12x_0)</f>
        <v>0</v>
      </c>
      <c r="U75" s="1"/>
      <c r="V75" s="5">
        <f t="shared" ref="V75:V76" si="67">IF(T$12=0,0,T75/T$12)</f>
        <v>0</v>
      </c>
      <c r="W75" s="1"/>
      <c r="X75" s="1">
        <f t="shared" ref="X75:X76" si="68">+P75-T75</f>
        <v>0</v>
      </c>
      <c r="Y75" s="1"/>
      <c r="Z75" s="5">
        <f t="shared" ref="Z75:Z76" si="69">IF(T75=0,0,X75/T75)</f>
        <v>0</v>
      </c>
    </row>
    <row r="76" spans="1:26" s="24" customFormat="1" hidden="1" outlineLevel="2" x14ac:dyDescent="0.25">
      <c r="A76" s="27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0</v>
      </c>
      <c r="U76" s="2"/>
      <c r="V76" s="6">
        <f t="shared" si="67"/>
        <v>0</v>
      </c>
      <c r="W76" s="2"/>
      <c r="X76" s="7">
        <f t="shared" si="68"/>
        <v>0</v>
      </c>
      <c r="Y76" s="2"/>
      <c r="Z76" s="6">
        <f t="shared" si="69"/>
        <v>0</v>
      </c>
    </row>
    <row r="77" spans="1:26" s="58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19">
        <f>+D19-D21+D78</f>
        <v>-58.03</v>
      </c>
      <c r="E80" s="13"/>
      <c r="F80" s="21">
        <f>IF(D$12=0,0,D80/D$12)</f>
        <v>0</v>
      </c>
      <c r="G80" s="13"/>
      <c r="H80" s="19">
        <f>+H19-H21+H78</f>
        <v>-630</v>
      </c>
      <c r="I80" s="13"/>
      <c r="J80" s="21">
        <f>IF(H$12=0,0,H80/H$12)</f>
        <v>0</v>
      </c>
      <c r="K80" s="15"/>
      <c r="L80" s="19">
        <f>+D80-H80</f>
        <v>571.97</v>
      </c>
      <c r="M80" s="15"/>
      <c r="N80" s="21">
        <f>IF(H80=0,0,L80/H80)</f>
        <v>-0.90788888888888897</v>
      </c>
      <c r="O80" s="26"/>
      <c r="P80" s="19">
        <f>+P19-P21+P78</f>
        <v>-4963.57</v>
      </c>
      <c r="Q80" s="13"/>
      <c r="R80" s="21">
        <f>IF(P$12=0,0,P80/P$12)</f>
        <v>0</v>
      </c>
      <c r="S80" s="13"/>
      <c r="T80" s="19">
        <f>+T19-T21+T78</f>
        <v>-5040</v>
      </c>
      <c r="U80" s="13"/>
      <c r="V80" s="21">
        <f>IF(T$12=0,0,T80/T$12)</f>
        <v>0</v>
      </c>
      <c r="W80" s="15"/>
      <c r="X80" s="19">
        <f>+P80-T80</f>
        <v>76.430000000000291</v>
      </c>
      <c r="Y80" s="15"/>
      <c r="Z80" s="21">
        <f>IF(T80=0,0,X80/T80)</f>
        <v>-1.5164682539682598E-2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4">
        <f>+D80-D82</f>
        <v>-58.03</v>
      </c>
      <c r="E84" s="13"/>
      <c r="F84" s="30">
        <f>IF(D$12=0,0,D84/D$12)</f>
        <v>0</v>
      </c>
      <c r="G84" s="13"/>
      <c r="H84" s="34">
        <f>+H80-H82</f>
        <v>-630</v>
      </c>
      <c r="I84" s="13"/>
      <c r="J84" s="30">
        <f>IF(H$12=0,0,H84/H$12)</f>
        <v>0</v>
      </c>
      <c r="K84" s="15"/>
      <c r="L84" s="34">
        <f>D84-H84</f>
        <v>571.97</v>
      </c>
      <c r="M84" s="15"/>
      <c r="N84" s="30">
        <f>IF(H84=0,0,L84/H84)</f>
        <v>-0.90788888888888897</v>
      </c>
      <c r="O84" s="26"/>
      <c r="P84" s="34">
        <f>+P80-P82</f>
        <v>-4963.57</v>
      </c>
      <c r="Q84" s="13"/>
      <c r="R84" s="30">
        <f>IF(P$12=0,0,P84/P$12)</f>
        <v>0</v>
      </c>
      <c r="S84" s="13"/>
      <c r="T84" s="34">
        <f>+T80-T82</f>
        <v>-5040</v>
      </c>
      <c r="U84" s="13"/>
      <c r="V84" s="30">
        <f>IF(T$12=0,0,T84/T$12)</f>
        <v>0</v>
      </c>
      <c r="W84" s="15"/>
      <c r="X84" s="34">
        <f>P84-T84</f>
        <v>76.430000000000291</v>
      </c>
      <c r="Y84" s="15"/>
      <c r="Z84" s="30">
        <f>IF(T84=0,0,X84/T84)</f>
        <v>-1.5164682539682598E-2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5">
        <f>SUM(D84:D86)</f>
        <v>-58.03</v>
      </c>
      <c r="E87" s="13"/>
      <c r="F87" s="31">
        <f>IF(D$12=0,0,D87/D$12)</f>
        <v>0</v>
      </c>
      <c r="G87" s="13"/>
      <c r="H87" s="35">
        <f>SUM(H84:H86)</f>
        <v>-630</v>
      </c>
      <c r="I87" s="13"/>
      <c r="J87" s="31">
        <f>IF(H$12=0,0,H87/H$12)</f>
        <v>0</v>
      </c>
      <c r="K87" s="15"/>
      <c r="L87" s="35">
        <f>+D87-H87</f>
        <v>571.97</v>
      </c>
      <c r="M87" s="15"/>
      <c r="N87" s="31">
        <f>IF(H87=0,0,L87/H87)</f>
        <v>-0.90788888888888897</v>
      </c>
      <c r="O87" s="26"/>
      <c r="P87" s="35">
        <f>SUM(P84:P86)</f>
        <v>-4963.57</v>
      </c>
      <c r="Q87" s="13"/>
      <c r="R87" s="31">
        <f>IF(P$12=0,0,P87/P$12)</f>
        <v>0</v>
      </c>
      <c r="S87" s="13"/>
      <c r="T87" s="35">
        <f>SUM(T84:T86)</f>
        <v>-5040</v>
      </c>
      <c r="U87" s="13"/>
      <c r="V87" s="31">
        <f>IF(T$12=0,0,T87/T$12)</f>
        <v>0</v>
      </c>
      <c r="W87" s="15"/>
      <c r="X87" s="35">
        <f>+P87-T87</f>
        <v>76.430000000000291</v>
      </c>
      <c r="Y87" s="15"/>
      <c r="Z87" s="31">
        <f>IF(T87=0,0,X87/T87)</f>
        <v>-1.5164682539682598E-2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3">
        <v>44267.672095601854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62" t="s">
        <v>314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7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-2369.56</v>
      </c>
      <c r="E17" s="4"/>
      <c r="F17" s="12">
        <f t="shared" ref="F17:F19" si="5">IF(D$12=0,0,D17/D$12)</f>
        <v>0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-2369.56</v>
      </c>
      <c r="M17" s="4"/>
      <c r="N17" s="12">
        <f t="shared" ref="N17:N19" si="8">IF(H17=0,0,L17/H17)</f>
        <v>0</v>
      </c>
      <c r="O17" s="10"/>
      <c r="P17" s="4">
        <f>SUM(OSRRefP16x_0)</f>
        <v>-2369.56</v>
      </c>
      <c r="Q17" s="4"/>
      <c r="R17" s="12">
        <f t="shared" ref="R17:R19" si="9">IF(P$12=0,0,P17/P$12)</f>
        <v>-2.4305423064693152</v>
      </c>
      <c r="S17" s="4"/>
      <c r="T17" s="4">
        <f>SUM(OSRRefT16x_0)</f>
        <v>0</v>
      </c>
      <c r="U17" s="4"/>
      <c r="V17" s="12">
        <f t="shared" ref="V17:V19" si="10">IF(T$12=0,0,T17/T$12)</f>
        <v>0</v>
      </c>
      <c r="W17" s="4"/>
      <c r="X17" s="4">
        <f t="shared" ref="X17:X19" si="11">+P17-T17</f>
        <v>-2369.56</v>
      </c>
      <c r="Y17" s="4"/>
      <c r="Z17" s="12">
        <f t="shared" ref="Z17:Z19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-2369.56</v>
      </c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-2369.56</v>
      </c>
      <c r="M19" s="2"/>
      <c r="N19" s="22">
        <f t="shared" si="8"/>
        <v>0</v>
      </c>
      <c r="O19" s="11"/>
      <c r="P19" s="2">
        <v>-2369.56</v>
      </c>
      <c r="Q19" s="2"/>
      <c r="R19" s="22">
        <f t="shared" si="9"/>
        <v>-2.4305423064693152</v>
      </c>
      <c r="S19" s="2"/>
      <c r="T19" s="2"/>
      <c r="U19" s="2"/>
      <c r="V19" s="22">
        <f t="shared" si="10"/>
        <v>0</v>
      </c>
      <c r="W19" s="2"/>
      <c r="X19" s="2">
        <f t="shared" si="11"/>
        <v>-2369.56</v>
      </c>
      <c r="Y19" s="2"/>
      <c r="Z19" s="22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19">
        <f>D12-D17</f>
        <v>2369.56</v>
      </c>
      <c r="E21" s="13"/>
      <c r="F21" s="21">
        <f>IF(D$12=0,0,D21/D$12)</f>
        <v>0</v>
      </c>
      <c r="G21" s="13"/>
      <c r="H21" s="19">
        <f>H12-H17</f>
        <v>0</v>
      </c>
      <c r="I21" s="13"/>
      <c r="J21" s="21">
        <f>IF(H$12=0,0,H21/H$12)</f>
        <v>0</v>
      </c>
      <c r="K21" s="15"/>
      <c r="L21" s="19">
        <f>+D21-H21</f>
        <v>2369.56</v>
      </c>
      <c r="M21" s="15"/>
      <c r="N21" s="21">
        <f>IF(H21=0,0,L21/H21)</f>
        <v>0</v>
      </c>
      <c r="O21" s="26"/>
      <c r="P21" s="19">
        <f>P12-P17</f>
        <v>3344.47</v>
      </c>
      <c r="Q21" s="13"/>
      <c r="R21" s="21">
        <f>IF(P$12=0,0,P21/P$12)</f>
        <v>3.4305423064693152</v>
      </c>
      <c r="S21" s="13"/>
      <c r="T21" s="19">
        <f>T12-T17</f>
        <v>0</v>
      </c>
      <c r="U21" s="13"/>
      <c r="V21" s="21">
        <f>IF(T$12=0,0,T21/T$12)</f>
        <v>0</v>
      </c>
      <c r="W21" s="15"/>
      <c r="X21" s="19">
        <f>+P21-T21</f>
        <v>3344.47</v>
      </c>
      <c r="Y21" s="15"/>
      <c r="Z21" s="21">
        <f>IF(T21=0,0,X21/T21)</f>
        <v>0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1909.09</v>
      </c>
      <c r="E23" s="20"/>
      <c r="F23" s="33">
        <f t="shared" ref="F23:F33" si="13">IF(D$12=0,0,D23/D$12)</f>
        <v>0</v>
      </c>
      <c r="G23" s="20"/>
      <c r="H23" s="20">
        <f>SUM(OSRRefH22x_0)</f>
        <v>1972</v>
      </c>
      <c r="I23" s="20"/>
      <c r="J23" s="33">
        <f t="shared" ref="J23:J33" si="14">IF(H$12=0,0,H23/H$12)</f>
        <v>0</v>
      </c>
      <c r="K23" s="4"/>
      <c r="L23" s="20">
        <f t="shared" ref="L23:L33" si="15">+D23-H23</f>
        <v>-62.910000000000082</v>
      </c>
      <c r="M23" s="4"/>
      <c r="N23" s="33">
        <f t="shared" ref="N23:N33" si="16">IF(H23=0,0,L23/H23)</f>
        <v>-3.1901622718052781E-2</v>
      </c>
      <c r="O23" s="10"/>
      <c r="P23" s="20">
        <f>SUM(OSRRefP22x_0)</f>
        <v>16137.25</v>
      </c>
      <c r="Q23" s="20"/>
      <c r="R23" s="33">
        <f t="shared" ref="R23:R33" si="17">IF(P$12=0,0,P23/P$12)</f>
        <v>16.552553569047401</v>
      </c>
      <c r="S23" s="20"/>
      <c r="T23" s="20">
        <f>SUM(OSRRefT22x_0)</f>
        <v>15776</v>
      </c>
      <c r="U23" s="20"/>
      <c r="V23" s="33">
        <f t="shared" ref="V23:V33" si="18">IF(T$12=0,0,T23/T$12)</f>
        <v>0</v>
      </c>
      <c r="W23" s="4"/>
      <c r="X23" s="20">
        <f t="shared" ref="X23:X33" si="19">+P23-T23</f>
        <v>361.25</v>
      </c>
      <c r="Y23" s="4"/>
      <c r="Z23" s="33">
        <f t="shared" ref="Z23:Z33" si="20">IF(T23=0,0,X23/T23)</f>
        <v>2.2898706896551723E-2</v>
      </c>
    </row>
    <row r="24" spans="1:26" s="28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0</v>
      </c>
      <c r="I24" s="1"/>
      <c r="J24" s="5">
        <f t="shared" si="14"/>
        <v>0</v>
      </c>
      <c r="K24" s="1"/>
      <c r="L24" s="1">
        <f t="shared" si="15"/>
        <v>0</v>
      </c>
      <c r="M24" s="1"/>
      <c r="N24" s="5">
        <f t="shared" si="16"/>
        <v>0</v>
      </c>
      <c r="O24" s="14"/>
      <c r="P24" s="1">
        <f>SUM(OSRRefP22_0x_0)</f>
        <v>702.51</v>
      </c>
      <c r="Q24" s="1"/>
      <c r="R24" s="5">
        <f t="shared" si="17"/>
        <v>0.72058959288549718</v>
      </c>
      <c r="S24" s="1"/>
      <c r="T24" s="1">
        <f>SUM(OSRRefT22_0x_0)</f>
        <v>0</v>
      </c>
      <c r="U24" s="1"/>
      <c r="V24" s="5">
        <f t="shared" si="18"/>
        <v>0</v>
      </c>
      <c r="W24" s="1"/>
      <c r="X24" s="1">
        <f t="shared" si="19"/>
        <v>702.51</v>
      </c>
      <c r="Y24" s="1"/>
      <c r="Z24" s="5">
        <f t="shared" si="20"/>
        <v>0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/>
      <c r="Q26" s="2"/>
      <c r="R26" s="6">
        <f t="shared" si="17"/>
        <v>0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0</v>
      </c>
      <c r="Y26" s="2"/>
      <c r="Z26" s="6">
        <f t="shared" si="20"/>
        <v>0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702.51</v>
      </c>
      <c r="Q27" s="2"/>
      <c r="R27" s="6">
        <f t="shared" si="17"/>
        <v>0.72058959288549718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702.51</v>
      </c>
      <c r="Y27" s="2"/>
      <c r="Z27" s="6">
        <f t="shared" si="20"/>
        <v>0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7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8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0</v>
      </c>
      <c r="M34" s="1"/>
      <c r="N34" s="5">
        <f t="shared" ref="N34:N44" si="24">IF(H34=0,0,L34/H34)</f>
        <v>0</v>
      </c>
      <c r="O34" s="14"/>
      <c r="P34" s="1">
        <f>SUM(OSRRefP22_1x_0)</f>
        <v>0</v>
      </c>
      <c r="Q34" s="1"/>
      <c r="R34" s="5">
        <f t="shared" ref="R34:R44" si="25">IF(P$12=0,0,P34/P$12)</f>
        <v>0</v>
      </c>
      <c r="S34" s="1"/>
      <c r="T34" s="1">
        <f>SUM(OSRRefT22_1x_0)</f>
        <v>0</v>
      </c>
      <c r="U34" s="1"/>
      <c r="V34" s="5">
        <f t="shared" ref="V34:V44" si="26">IF(T$12=0,0,T34/T$12)</f>
        <v>0</v>
      </c>
      <c r="W34" s="1"/>
      <c r="X34" s="1">
        <f t="shared" ref="X34:X44" si="27">+P34-T34</f>
        <v>0</v>
      </c>
      <c r="Y34" s="1"/>
      <c r="Z34" s="5">
        <f t="shared" ref="Z34:Z44" si="28">IF(T34=0,0,X34/T34)</f>
        <v>0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8" customFormat="1" outlineLevel="1" collapsed="1" x14ac:dyDescent="0.25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83.83</v>
      </c>
      <c r="E45" s="1"/>
      <c r="F45" s="5">
        <f t="shared" ref="F45:F59" si="29">IF(D$12=0,0,D45/D$12)</f>
        <v>0</v>
      </c>
      <c r="G45" s="1"/>
      <c r="H45" s="1">
        <f>SUM(OSRRefH22_2x_0)</f>
        <v>0</v>
      </c>
      <c r="I45" s="1"/>
      <c r="J45" s="5">
        <f t="shared" ref="J45:J59" si="30">IF(H$12=0,0,H45/H$12)</f>
        <v>0</v>
      </c>
      <c r="K45" s="1"/>
      <c r="L45" s="1">
        <f t="shared" ref="L45:L59" si="31">+D45-H45</f>
        <v>83.83</v>
      </c>
      <c r="M45" s="1"/>
      <c r="N45" s="5">
        <f t="shared" ref="N45:N59" si="32">IF(H45=0,0,L45/H45)</f>
        <v>0</v>
      </c>
      <c r="O45" s="14"/>
      <c r="P45" s="1">
        <f>SUM(OSRRefP22_2x_0)</f>
        <v>83.83</v>
      </c>
      <c r="Q45" s="1"/>
      <c r="R45" s="5">
        <f t="shared" ref="R45:R59" si="33">IF(P$12=0,0,P45/P$12)</f>
        <v>8.5987424480208435E-2</v>
      </c>
      <c r="S45" s="1"/>
      <c r="T45" s="1">
        <f>SUM(OSRRefT22_2x_0)</f>
        <v>0</v>
      </c>
      <c r="U45" s="1"/>
      <c r="V45" s="5">
        <f t="shared" ref="V45:V59" si="34">IF(T$12=0,0,T45/T$12)</f>
        <v>0</v>
      </c>
      <c r="W45" s="1"/>
      <c r="X45" s="1">
        <f t="shared" ref="X45:X59" si="35">+P45-T45</f>
        <v>83.83</v>
      </c>
      <c r="Y45" s="1"/>
      <c r="Z45" s="5">
        <f t="shared" ref="Z45:Z59" si="36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7">
        <v>83.83</v>
      </c>
      <c r="E46" s="2"/>
      <c r="F46" s="6">
        <f t="shared" si="29"/>
        <v>0</v>
      </c>
      <c r="G46" s="2"/>
      <c r="H46" s="7">
        <v>0</v>
      </c>
      <c r="I46" s="2"/>
      <c r="J46" s="6">
        <f t="shared" si="30"/>
        <v>0</v>
      </c>
      <c r="K46" s="2"/>
      <c r="L46" s="7">
        <f t="shared" si="31"/>
        <v>83.83</v>
      </c>
      <c r="M46" s="2"/>
      <c r="N46" s="6">
        <f t="shared" si="32"/>
        <v>0</v>
      </c>
      <c r="O46" s="11"/>
      <c r="P46" s="7">
        <v>83.83</v>
      </c>
      <c r="Q46" s="2"/>
      <c r="R46" s="6">
        <f t="shared" si="33"/>
        <v>8.5987424480208435E-2</v>
      </c>
      <c r="S46" s="2"/>
      <c r="T46" s="7">
        <v>0</v>
      </c>
      <c r="U46" s="2"/>
      <c r="V46" s="6">
        <f t="shared" si="34"/>
        <v>0</v>
      </c>
      <c r="W46" s="2"/>
      <c r="X46" s="7">
        <f t="shared" si="35"/>
        <v>83.83</v>
      </c>
      <c r="Y46" s="2"/>
      <c r="Z46" s="6">
        <f t="shared" si="36"/>
        <v>0</v>
      </c>
    </row>
    <row r="47" spans="1:26" s="28" customFormat="1" outlineLevel="1" collapsed="1" x14ac:dyDescent="0.25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4"/>
      <c r="P47" s="1">
        <f>SUM(OSRRefP22_3x_0)</f>
        <v>0</v>
      </c>
      <c r="Q47" s="1"/>
      <c r="R47" s="5">
        <f t="shared" si="33"/>
        <v>0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0</v>
      </c>
      <c r="Y47" s="1"/>
      <c r="Z47" s="5">
        <f t="shared" si="36"/>
        <v>0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29"/>
        <v>0</v>
      </c>
      <c r="G48" s="2"/>
      <c r="H48" s="7">
        <v>0</v>
      </c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/>
      <c r="Q48" s="2"/>
      <c r="R48" s="6">
        <f t="shared" si="33"/>
        <v>0</v>
      </c>
      <c r="S48" s="2"/>
      <c r="T48" s="7">
        <v>0</v>
      </c>
      <c r="U48" s="2"/>
      <c r="V48" s="6">
        <f t="shared" si="34"/>
        <v>0</v>
      </c>
      <c r="W48" s="2"/>
      <c r="X48" s="7">
        <f t="shared" si="35"/>
        <v>0</v>
      </c>
      <c r="Y48" s="2"/>
      <c r="Z48" s="6">
        <f t="shared" si="36"/>
        <v>0</v>
      </c>
    </row>
    <row r="49" spans="1:26" s="28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SUM(OSRRefD22_4x_0)</f>
        <v>1825.26</v>
      </c>
      <c r="E49" s="1"/>
      <c r="F49" s="5">
        <f t="shared" si="29"/>
        <v>0</v>
      </c>
      <c r="G49" s="1"/>
      <c r="H49" s="1">
        <f>SUM(OSRRefH22_4x_0)</f>
        <v>1972</v>
      </c>
      <c r="I49" s="1"/>
      <c r="J49" s="5">
        <f t="shared" si="30"/>
        <v>0</v>
      </c>
      <c r="K49" s="1"/>
      <c r="L49" s="1">
        <f t="shared" si="31"/>
        <v>-146.74</v>
      </c>
      <c r="M49" s="1"/>
      <c r="N49" s="5">
        <f t="shared" si="32"/>
        <v>-7.4411764705882358E-2</v>
      </c>
      <c r="O49" s="14"/>
      <c r="P49" s="1">
        <f>SUM(OSRRefP22_4x_0)</f>
        <v>14748.87</v>
      </c>
      <c r="Q49" s="1"/>
      <c r="R49" s="5">
        <f t="shared" si="33"/>
        <v>15.128442625473122</v>
      </c>
      <c r="S49" s="1"/>
      <c r="T49" s="1">
        <f>SUM(OSRRefT22_4x_0)</f>
        <v>15776</v>
      </c>
      <c r="U49" s="1"/>
      <c r="V49" s="5">
        <f t="shared" si="34"/>
        <v>0</v>
      </c>
      <c r="W49" s="1"/>
      <c r="X49" s="1">
        <f t="shared" si="35"/>
        <v>-1027.1299999999992</v>
      </c>
      <c r="Y49" s="1"/>
      <c r="Z49" s="5">
        <f t="shared" si="36"/>
        <v>-6.5107124746450251E-2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1825.26</v>
      </c>
      <c r="E50" s="2"/>
      <c r="F50" s="6">
        <f t="shared" si="29"/>
        <v>0</v>
      </c>
      <c r="G50" s="2"/>
      <c r="H50" s="7">
        <v>1972</v>
      </c>
      <c r="I50" s="2"/>
      <c r="J50" s="6">
        <f t="shared" si="30"/>
        <v>0</v>
      </c>
      <c r="K50" s="2"/>
      <c r="L50" s="7">
        <f t="shared" si="31"/>
        <v>-146.74</v>
      </c>
      <c r="M50" s="2"/>
      <c r="N50" s="6">
        <f t="shared" si="32"/>
        <v>-7.4411764705882358E-2</v>
      </c>
      <c r="O50" s="11"/>
      <c r="P50" s="7">
        <v>14748.87</v>
      </c>
      <c r="Q50" s="2"/>
      <c r="R50" s="6">
        <f t="shared" si="33"/>
        <v>15.128442625473122</v>
      </c>
      <c r="S50" s="2"/>
      <c r="T50" s="7">
        <v>15776</v>
      </c>
      <c r="U50" s="2"/>
      <c r="V50" s="6">
        <f t="shared" si="34"/>
        <v>0</v>
      </c>
      <c r="W50" s="2"/>
      <c r="X50" s="7">
        <f t="shared" si="35"/>
        <v>-1027.1299999999992</v>
      </c>
      <c r="Y50" s="2"/>
      <c r="Z50" s="6">
        <f t="shared" si="36"/>
        <v>-6.5107124746450251E-2</v>
      </c>
    </row>
    <row r="51" spans="1:26" s="28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4"/>
      <c r="P51" s="1">
        <f>SUM(OSRRefP22_5x_0)</f>
        <v>0</v>
      </c>
      <c r="Q51" s="1"/>
      <c r="R51" s="5">
        <f t="shared" si="33"/>
        <v>0</v>
      </c>
      <c r="S51" s="1"/>
      <c r="T51" s="1">
        <f>SUM(OSRRefT22_5x_0)</f>
        <v>0</v>
      </c>
      <c r="U51" s="1"/>
      <c r="V51" s="5">
        <f t="shared" si="34"/>
        <v>0</v>
      </c>
      <c r="W51" s="1"/>
      <c r="X51" s="1">
        <f t="shared" si="35"/>
        <v>0</v>
      </c>
      <c r="Y51" s="1"/>
      <c r="Z51" s="5">
        <f t="shared" si="36"/>
        <v>0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0</v>
      </c>
      <c r="I52" s="2"/>
      <c r="J52" s="6">
        <f t="shared" si="30"/>
        <v>0</v>
      </c>
      <c r="K52" s="2"/>
      <c r="L52" s="7">
        <f t="shared" si="31"/>
        <v>0</v>
      </c>
      <c r="M52" s="2"/>
      <c r="N52" s="6">
        <f t="shared" si="32"/>
        <v>0</v>
      </c>
      <c r="O52" s="11"/>
      <c r="P52" s="7"/>
      <c r="Q52" s="2"/>
      <c r="R52" s="6">
        <f t="shared" si="33"/>
        <v>0</v>
      </c>
      <c r="S52" s="2"/>
      <c r="T52" s="7">
        <v>0</v>
      </c>
      <c r="U52" s="2"/>
      <c r="V52" s="6">
        <f t="shared" si="34"/>
        <v>0</v>
      </c>
      <c r="W52" s="2"/>
      <c r="X52" s="7">
        <f t="shared" si="35"/>
        <v>0</v>
      </c>
      <c r="Y52" s="2"/>
      <c r="Z52" s="6">
        <f t="shared" si="36"/>
        <v>0</v>
      </c>
    </row>
    <row r="53" spans="1:26" s="28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4"/>
      <c r="P53" s="1">
        <f>SUM(OSRRefP22_6x_0)</f>
        <v>96.3</v>
      </c>
      <c r="Q53" s="1"/>
      <c r="R53" s="5">
        <f t="shared" si="33"/>
        <v>9.8778348770655749E-2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96.3</v>
      </c>
      <c r="Y53" s="1"/>
      <c r="Z53" s="5">
        <f t="shared" si="36"/>
        <v>0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0</v>
      </c>
      <c r="M54" s="2"/>
      <c r="N54" s="6">
        <f t="shared" si="32"/>
        <v>0</v>
      </c>
      <c r="O54" s="11"/>
      <c r="P54" s="7">
        <v>96.3</v>
      </c>
      <c r="Q54" s="2"/>
      <c r="R54" s="6">
        <f t="shared" si="33"/>
        <v>9.8778348770655749E-2</v>
      </c>
      <c r="S54" s="2"/>
      <c r="T54" s="7"/>
      <c r="U54" s="2"/>
      <c r="V54" s="6">
        <f t="shared" si="34"/>
        <v>0</v>
      </c>
      <c r="W54" s="2"/>
      <c r="X54" s="7">
        <f t="shared" si="35"/>
        <v>96.3</v>
      </c>
      <c r="Y54" s="2"/>
      <c r="Z54" s="6">
        <f t="shared" si="36"/>
        <v>0</v>
      </c>
    </row>
    <row r="55" spans="1:26" s="28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4"/>
      <c r="P55" s="1">
        <f>SUM(OSRRefP22_7x_0)</f>
        <v>7.28</v>
      </c>
      <c r="Q55" s="1"/>
      <c r="R55" s="5">
        <f t="shared" si="33"/>
        <v>7.467355961063073E-3</v>
      </c>
      <c r="S55" s="1"/>
      <c r="T55" s="1">
        <f>SUM(OSRRefT22_7x_0)</f>
        <v>0</v>
      </c>
      <c r="U55" s="1"/>
      <c r="V55" s="5">
        <f t="shared" si="34"/>
        <v>0</v>
      </c>
      <c r="W55" s="1"/>
      <c r="X55" s="1">
        <f t="shared" si="35"/>
        <v>7.28</v>
      </c>
      <c r="Y55" s="1"/>
      <c r="Z55" s="5">
        <f t="shared" si="36"/>
        <v>0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7.28</v>
      </c>
      <c r="Q56" s="2"/>
      <c r="R56" s="6">
        <f t="shared" si="33"/>
        <v>7.467355961063073E-3</v>
      </c>
      <c r="S56" s="2"/>
      <c r="T56" s="7">
        <v>0</v>
      </c>
      <c r="U56" s="2"/>
      <c r="V56" s="6">
        <f t="shared" si="34"/>
        <v>0</v>
      </c>
      <c r="W56" s="2"/>
      <c r="X56" s="7">
        <f t="shared" si="35"/>
        <v>7.28</v>
      </c>
      <c r="Y56" s="2"/>
      <c r="Z56" s="6">
        <f t="shared" si="36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4"/>
      <c r="P57" s="1">
        <f>SUM(OSRRefP22_8x_0)</f>
        <v>498.46</v>
      </c>
      <c r="Q57" s="1"/>
      <c r="R57" s="5">
        <f t="shared" si="33"/>
        <v>0.51128822147685427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498.46</v>
      </c>
      <c r="Y57" s="1"/>
      <c r="Z57" s="5">
        <f t="shared" si="36"/>
        <v>0</v>
      </c>
    </row>
    <row r="58" spans="1:26" s="24" customFormat="1" hidden="1" outlineLevel="2" x14ac:dyDescent="0.25">
      <c r="A58" s="27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298.45999999999998</v>
      </c>
      <c r="Q58" s="2"/>
      <c r="R58" s="6">
        <f t="shared" si="33"/>
        <v>0.30614107968940724</v>
      </c>
      <c r="S58" s="2"/>
      <c r="T58" s="7"/>
      <c r="U58" s="2"/>
      <c r="V58" s="6">
        <f t="shared" si="34"/>
        <v>0</v>
      </c>
      <c r="W58" s="2"/>
      <c r="X58" s="7">
        <f t="shared" si="35"/>
        <v>298.45999999999998</v>
      </c>
      <c r="Y58" s="2"/>
      <c r="Z58" s="6">
        <f t="shared" si="36"/>
        <v>0</v>
      </c>
    </row>
    <row r="59" spans="1:26" s="24" customFormat="1" hidden="1" outlineLevel="2" x14ac:dyDescent="0.25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200</v>
      </c>
      <c r="Q59" s="2"/>
      <c r="R59" s="6">
        <f t="shared" si="33"/>
        <v>0.20514714178744706</v>
      </c>
      <c r="S59" s="2"/>
      <c r="T59" s="7"/>
      <c r="U59" s="2"/>
      <c r="V59" s="6">
        <f t="shared" si="34"/>
        <v>0</v>
      </c>
      <c r="W59" s="2"/>
      <c r="X59" s="7">
        <f t="shared" si="35"/>
        <v>200</v>
      </c>
      <c r="Y59" s="2"/>
      <c r="Z59" s="6">
        <f t="shared" si="36"/>
        <v>0</v>
      </c>
    </row>
    <row r="60" spans="1:26" s="28" customFormat="1" outlineLevel="1" collapsed="1" x14ac:dyDescent="0.25">
      <c r="A60" s="29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SUM(OSRRefD22_9x_0)</f>
        <v>0</v>
      </c>
      <c r="E60" s="1"/>
      <c r="F60" s="5">
        <f t="shared" ref="F60:F69" si="37">IF(D$12=0,0,D60/D$12)</f>
        <v>0</v>
      </c>
      <c r="G60" s="1"/>
      <c r="H60" s="1">
        <f>SUM(OSRRefH22_9x_0)</f>
        <v>0</v>
      </c>
      <c r="I60" s="1"/>
      <c r="J60" s="5">
        <f t="shared" ref="J60:J69" si="38">IF(H$12=0,0,H60/H$12)</f>
        <v>0</v>
      </c>
      <c r="K60" s="1"/>
      <c r="L60" s="1">
        <f t="shared" ref="L60:L69" si="39">+D60-H60</f>
        <v>0</v>
      </c>
      <c r="M60" s="1"/>
      <c r="N60" s="5">
        <f t="shared" ref="N60:N69" si="40">IF(H60=0,0,L60/H60)</f>
        <v>0</v>
      </c>
      <c r="O60" s="14"/>
      <c r="P60" s="1">
        <f>SUM(OSRRefP22_9x_0)</f>
        <v>0</v>
      </c>
      <c r="Q60" s="1"/>
      <c r="R60" s="5">
        <f t="shared" ref="R60:R69" si="41">IF(P$12=0,0,P60/P$12)</f>
        <v>0</v>
      </c>
      <c r="S60" s="1"/>
      <c r="T60" s="1">
        <f>SUM(OSRRefT22_9x_0)</f>
        <v>0</v>
      </c>
      <c r="U60" s="1"/>
      <c r="V60" s="5">
        <f t="shared" ref="V60:V69" si="42">IF(T$12=0,0,T60/T$12)</f>
        <v>0</v>
      </c>
      <c r="W60" s="1"/>
      <c r="X60" s="1">
        <f t="shared" ref="X60:X69" si="43">+P60-T60</f>
        <v>0</v>
      </c>
      <c r="Y60" s="1"/>
      <c r="Z60" s="5">
        <f t="shared" ref="Z60:Z69" si="44">IF(T60=0,0,X60/T60)</f>
        <v>0</v>
      </c>
    </row>
    <row r="61" spans="1:26" s="24" customFormat="1" hidden="1" outlineLevel="2" x14ac:dyDescent="0.25">
      <c r="A61" s="27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0</v>
      </c>
      <c r="M61" s="2"/>
      <c r="N61" s="6">
        <f t="shared" si="40"/>
        <v>0</v>
      </c>
      <c r="O61" s="11"/>
      <c r="P61" s="7"/>
      <c r="Q61" s="2"/>
      <c r="R61" s="6">
        <f t="shared" si="41"/>
        <v>0</v>
      </c>
      <c r="S61" s="2"/>
      <c r="T61" s="7">
        <v>0</v>
      </c>
      <c r="U61" s="2"/>
      <c r="V61" s="6">
        <f t="shared" si="42"/>
        <v>0</v>
      </c>
      <c r="W61" s="2"/>
      <c r="X61" s="7">
        <f t="shared" si="43"/>
        <v>0</v>
      </c>
      <c r="Y61" s="2"/>
      <c r="Z61" s="6">
        <f t="shared" si="44"/>
        <v>0</v>
      </c>
    </row>
    <row r="62" spans="1:26" s="28" customFormat="1" outlineLevel="1" collapsed="1" x14ac:dyDescent="0.25">
      <c r="A62" s="29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SUM(OSRRefD22_10x_0)</f>
        <v>0</v>
      </c>
      <c r="E62" s="1"/>
      <c r="F62" s="5">
        <f t="shared" si="37"/>
        <v>0</v>
      </c>
      <c r="G62" s="1"/>
      <c r="H62" s="1">
        <f>SUM(OSRRefH22_10x_0)</f>
        <v>0</v>
      </c>
      <c r="I62" s="1"/>
      <c r="J62" s="5">
        <f t="shared" si="38"/>
        <v>0</v>
      </c>
      <c r="K62" s="1"/>
      <c r="L62" s="1">
        <f t="shared" si="39"/>
        <v>0</v>
      </c>
      <c r="M62" s="1"/>
      <c r="N62" s="5">
        <f t="shared" si="40"/>
        <v>0</v>
      </c>
      <c r="O62" s="14"/>
      <c r="P62" s="1">
        <f>SUM(OSRRefP22_10x_0)</f>
        <v>0</v>
      </c>
      <c r="Q62" s="1"/>
      <c r="R62" s="5">
        <f t="shared" si="41"/>
        <v>0</v>
      </c>
      <c r="S62" s="1"/>
      <c r="T62" s="1">
        <f>SUM(OSRRefT22_10x_0)</f>
        <v>0</v>
      </c>
      <c r="U62" s="1"/>
      <c r="V62" s="5">
        <f t="shared" si="42"/>
        <v>0</v>
      </c>
      <c r="W62" s="1"/>
      <c r="X62" s="1">
        <f t="shared" si="43"/>
        <v>0</v>
      </c>
      <c r="Y62" s="1"/>
      <c r="Z62" s="5">
        <f t="shared" si="44"/>
        <v>0</v>
      </c>
    </row>
    <row r="63" spans="1:26" s="24" customFormat="1" hidden="1" outlineLevel="2" x14ac:dyDescent="0.25">
      <c r="A63" s="27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37"/>
        <v>0</v>
      </c>
      <c r="G63" s="2"/>
      <c r="H63" s="7">
        <v>0</v>
      </c>
      <c r="I63" s="2"/>
      <c r="J63" s="6">
        <f t="shared" si="38"/>
        <v>0</v>
      </c>
      <c r="K63" s="2"/>
      <c r="L63" s="7">
        <f t="shared" si="39"/>
        <v>0</v>
      </c>
      <c r="M63" s="2"/>
      <c r="N63" s="6">
        <f t="shared" si="40"/>
        <v>0</v>
      </c>
      <c r="O63" s="11"/>
      <c r="P63" s="7"/>
      <c r="Q63" s="2"/>
      <c r="R63" s="6">
        <f t="shared" si="41"/>
        <v>0</v>
      </c>
      <c r="S63" s="2"/>
      <c r="T63" s="7">
        <v>0</v>
      </c>
      <c r="U63" s="2"/>
      <c r="V63" s="6">
        <f t="shared" si="42"/>
        <v>0</v>
      </c>
      <c r="W63" s="2"/>
      <c r="X63" s="7">
        <f t="shared" si="43"/>
        <v>0</v>
      </c>
      <c r="Y63" s="2"/>
      <c r="Z63" s="6">
        <f t="shared" si="44"/>
        <v>0</v>
      </c>
    </row>
    <row r="64" spans="1:26" s="28" customFormat="1" outlineLevel="1" collapsed="1" x14ac:dyDescent="0.25">
      <c r="A64" s="29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SUM(OSRRefD22_11x_0)</f>
        <v>0</v>
      </c>
      <c r="E64" s="1"/>
      <c r="F64" s="5">
        <f t="shared" si="37"/>
        <v>0</v>
      </c>
      <c r="G64" s="1"/>
      <c r="H64" s="1">
        <f>SUM(OSRRefH22_11x_0)</f>
        <v>0</v>
      </c>
      <c r="I64" s="1"/>
      <c r="J64" s="5">
        <f t="shared" si="38"/>
        <v>0</v>
      </c>
      <c r="K64" s="1"/>
      <c r="L64" s="1">
        <f t="shared" si="39"/>
        <v>0</v>
      </c>
      <c r="M64" s="1"/>
      <c r="N64" s="5">
        <f t="shared" si="40"/>
        <v>0</v>
      </c>
      <c r="O64" s="14"/>
      <c r="P64" s="1">
        <f>SUM(OSRRefP22_11x_0)</f>
        <v>0</v>
      </c>
      <c r="Q64" s="1"/>
      <c r="R64" s="5">
        <f t="shared" si="41"/>
        <v>0</v>
      </c>
      <c r="S64" s="1"/>
      <c r="T64" s="1">
        <f>SUM(OSRRefT22_11x_0)</f>
        <v>0</v>
      </c>
      <c r="U64" s="1"/>
      <c r="V64" s="5">
        <f t="shared" si="42"/>
        <v>0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7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37"/>
        <v>0</v>
      </c>
      <c r="G65" s="2"/>
      <c r="H65" s="7">
        <v>0</v>
      </c>
      <c r="I65" s="2"/>
      <c r="J65" s="6">
        <f t="shared" si="38"/>
        <v>0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/>
      <c r="Q65" s="2"/>
      <c r="R65" s="6">
        <f t="shared" si="41"/>
        <v>0</v>
      </c>
      <c r="S65" s="2"/>
      <c r="T65" s="7">
        <v>0</v>
      </c>
      <c r="U65" s="2"/>
      <c r="V65" s="6">
        <f t="shared" si="42"/>
        <v>0</v>
      </c>
      <c r="W65" s="2"/>
      <c r="X65" s="7">
        <f t="shared" si="43"/>
        <v>0</v>
      </c>
      <c r="Y65" s="2"/>
      <c r="Z65" s="6">
        <f t="shared" si="44"/>
        <v>0</v>
      </c>
    </row>
    <row r="66" spans="1:26" s="28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SUM(OSRRefD22_12x_0)</f>
        <v>0</v>
      </c>
      <c r="E66" s="1"/>
      <c r="F66" s="5">
        <f t="shared" si="37"/>
        <v>0</v>
      </c>
      <c r="G66" s="1"/>
      <c r="H66" s="1">
        <f>SUM(OSRRefH22_12x_0)</f>
        <v>0</v>
      </c>
      <c r="I66" s="1"/>
      <c r="J66" s="5">
        <f t="shared" si="38"/>
        <v>0</v>
      </c>
      <c r="K66" s="1"/>
      <c r="L66" s="1">
        <f t="shared" si="39"/>
        <v>0</v>
      </c>
      <c r="M66" s="1"/>
      <c r="N66" s="5">
        <f t="shared" si="40"/>
        <v>0</v>
      </c>
      <c r="O66" s="14"/>
      <c r="P66" s="1">
        <f>SUM(OSRRefP22_12x_0)</f>
        <v>0</v>
      </c>
      <c r="Q66" s="1"/>
      <c r="R66" s="5">
        <f t="shared" si="41"/>
        <v>0</v>
      </c>
      <c r="S66" s="1"/>
      <c r="T66" s="1">
        <f>SUM(OSRRefT22_12x_0)</f>
        <v>0</v>
      </c>
      <c r="U66" s="1"/>
      <c r="V66" s="5">
        <f t="shared" si="42"/>
        <v>0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7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4" customFormat="1" hidden="1" outlineLevel="2" x14ac:dyDescent="0.25">
      <c r="A69" s="27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37"/>
        <v>0</v>
      </c>
      <c r="G69" s="2"/>
      <c r="H69" s="7">
        <v>0</v>
      </c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/>
      <c r="Q69" s="2"/>
      <c r="R69" s="6">
        <f t="shared" si="41"/>
        <v>0</v>
      </c>
      <c r="S69" s="2"/>
      <c r="T69" s="7">
        <v>0</v>
      </c>
      <c r="U69" s="2"/>
      <c r="V69" s="6">
        <f t="shared" si="42"/>
        <v>0</v>
      </c>
      <c r="W69" s="2"/>
      <c r="X69" s="7">
        <f t="shared" si="43"/>
        <v>0</v>
      </c>
      <c r="Y69" s="2"/>
      <c r="Z69" s="6">
        <f t="shared" si="44"/>
        <v>0</v>
      </c>
    </row>
    <row r="70" spans="1:26" s="28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0</v>
      </c>
      <c r="E70" s="1"/>
      <c r="F70" s="5">
        <f t="shared" ref="F70:F75" si="45">IF(D$12=0,0,D70/D$12)</f>
        <v>0</v>
      </c>
      <c r="G70" s="1"/>
      <c r="H70" s="1">
        <f>SUM(OSRRefH22_13x_0)</f>
        <v>0</v>
      </c>
      <c r="I70" s="1"/>
      <c r="J70" s="5">
        <f t="shared" ref="J70:J75" si="46">IF(H$12=0,0,H70/H$12)</f>
        <v>0</v>
      </c>
      <c r="K70" s="1"/>
      <c r="L70" s="1">
        <f t="shared" ref="L70:L75" si="47">+D70-H70</f>
        <v>0</v>
      </c>
      <c r="M70" s="1"/>
      <c r="N70" s="5">
        <f t="shared" ref="N70:N75" si="48">IF(H70=0,0,L70/H70)</f>
        <v>0</v>
      </c>
      <c r="O70" s="14"/>
      <c r="P70" s="1">
        <f>SUM(OSRRefP22_13x_0)</f>
        <v>0</v>
      </c>
      <c r="Q70" s="1"/>
      <c r="R70" s="5">
        <f t="shared" ref="R70:R75" si="49">IF(P$12=0,0,P70/P$12)</f>
        <v>0</v>
      </c>
      <c r="S70" s="1"/>
      <c r="T70" s="1">
        <f>SUM(OSRRefT22_13x_0)</f>
        <v>0</v>
      </c>
      <c r="U70" s="1"/>
      <c r="V70" s="5">
        <f t="shared" ref="V70:V75" si="50">IF(T$12=0,0,T70/T$12)</f>
        <v>0</v>
      </c>
      <c r="W70" s="1"/>
      <c r="X70" s="1">
        <f t="shared" ref="X70:X75" si="51">+P70-T70</f>
        <v>0</v>
      </c>
      <c r="Y70" s="1"/>
      <c r="Z70" s="5">
        <f t="shared" ref="Z70:Z75" si="52">IF(T70=0,0,X70/T70)</f>
        <v>0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7"/>
      <c r="E71" s="2"/>
      <c r="F71" s="6">
        <f t="shared" si="45"/>
        <v>0</v>
      </c>
      <c r="G71" s="2"/>
      <c r="H71" s="7">
        <v>0</v>
      </c>
      <c r="I71" s="2"/>
      <c r="J71" s="6">
        <f t="shared" si="46"/>
        <v>0</v>
      </c>
      <c r="K71" s="2"/>
      <c r="L71" s="7">
        <f t="shared" si="47"/>
        <v>0</v>
      </c>
      <c r="M71" s="2"/>
      <c r="N71" s="6">
        <f t="shared" si="48"/>
        <v>0</v>
      </c>
      <c r="O71" s="11"/>
      <c r="P71" s="7"/>
      <c r="Q71" s="2"/>
      <c r="R71" s="6">
        <f t="shared" si="49"/>
        <v>0</v>
      </c>
      <c r="S71" s="2"/>
      <c r="T71" s="7">
        <v>0</v>
      </c>
      <c r="U71" s="2"/>
      <c r="V71" s="6">
        <f t="shared" si="50"/>
        <v>0</v>
      </c>
      <c r="W71" s="2"/>
      <c r="X71" s="7">
        <f t="shared" si="51"/>
        <v>0</v>
      </c>
      <c r="Y71" s="2"/>
      <c r="Z71" s="6">
        <f t="shared" si="52"/>
        <v>0</v>
      </c>
    </row>
    <row r="72" spans="1:26" s="28" customFormat="1" outlineLevel="1" collapsed="1" x14ac:dyDescent="0.25">
      <c r="A72" s="29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SUM(OSRRefD22_14x_0)</f>
        <v>0</v>
      </c>
      <c r="E72" s="1"/>
      <c r="F72" s="5">
        <f t="shared" si="45"/>
        <v>0</v>
      </c>
      <c r="G72" s="1"/>
      <c r="H72" s="1">
        <f>SUM(OSRRefH22_14x_0)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4"/>
      <c r="P72" s="1">
        <f>SUM(OSRRefP22_14x_0)</f>
        <v>0</v>
      </c>
      <c r="Q72" s="1"/>
      <c r="R72" s="5">
        <f t="shared" si="49"/>
        <v>0</v>
      </c>
      <c r="S72" s="1"/>
      <c r="T72" s="1">
        <f>SUM(OSRRefT22_14x_0)</f>
        <v>0</v>
      </c>
      <c r="U72" s="1"/>
      <c r="V72" s="5">
        <f t="shared" si="50"/>
        <v>0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/>
      <c r="Q73" s="2"/>
      <c r="R73" s="6">
        <f t="shared" si="49"/>
        <v>0</v>
      </c>
      <c r="S73" s="2"/>
      <c r="T73" s="7">
        <v>0</v>
      </c>
      <c r="U73" s="2"/>
      <c r="V73" s="6">
        <f t="shared" si="50"/>
        <v>0</v>
      </c>
      <c r="W73" s="2"/>
      <c r="X73" s="7">
        <f t="shared" si="51"/>
        <v>0</v>
      </c>
      <c r="Y73" s="2"/>
      <c r="Z73" s="6">
        <f t="shared" si="52"/>
        <v>0</v>
      </c>
    </row>
    <row r="74" spans="1:26" s="28" customFormat="1" outlineLevel="1" collapsed="1" x14ac:dyDescent="0.25">
      <c r="A74" s="29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SUM(OSRRefD22_15x_0)</f>
        <v>0</v>
      </c>
      <c r="E74" s="1"/>
      <c r="F74" s="5">
        <f t="shared" si="45"/>
        <v>0</v>
      </c>
      <c r="G74" s="1"/>
      <c r="H74" s="1">
        <f>SUM(OSRRefH22_15x_0)</f>
        <v>0</v>
      </c>
      <c r="I74" s="1"/>
      <c r="J74" s="5">
        <f t="shared" si="46"/>
        <v>0</v>
      </c>
      <c r="K74" s="1"/>
      <c r="L74" s="1">
        <f t="shared" si="47"/>
        <v>0</v>
      </c>
      <c r="M74" s="1"/>
      <c r="N74" s="5">
        <f t="shared" si="48"/>
        <v>0</v>
      </c>
      <c r="O74" s="14"/>
      <c r="P74" s="1">
        <f>SUM(OSRRefP22_15x_0)</f>
        <v>0</v>
      </c>
      <c r="Q74" s="1"/>
      <c r="R74" s="5">
        <f t="shared" si="49"/>
        <v>0</v>
      </c>
      <c r="S74" s="1"/>
      <c r="T74" s="1">
        <f>SUM(OSRRefT22_15x_0)</f>
        <v>0</v>
      </c>
      <c r="U74" s="1"/>
      <c r="V74" s="5">
        <f t="shared" si="50"/>
        <v>0</v>
      </c>
      <c r="W74" s="1"/>
      <c r="X74" s="1">
        <f t="shared" si="51"/>
        <v>0</v>
      </c>
      <c r="Y74" s="1"/>
      <c r="Z74" s="5">
        <f t="shared" si="52"/>
        <v>0</v>
      </c>
    </row>
    <row r="75" spans="1:26" s="24" customFormat="1" hidden="1" outlineLevel="2" x14ac:dyDescent="0.25">
      <c r="A75" s="27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0</v>
      </c>
      <c r="M75" s="2"/>
      <c r="N75" s="6">
        <f t="shared" si="48"/>
        <v>0</v>
      </c>
      <c r="O75" s="11"/>
      <c r="P75" s="7"/>
      <c r="Q75" s="2"/>
      <c r="R75" s="6">
        <f t="shared" si="49"/>
        <v>0</v>
      </c>
      <c r="S75" s="2"/>
      <c r="T75" s="7">
        <v>0</v>
      </c>
      <c r="U75" s="2"/>
      <c r="V75" s="6">
        <f t="shared" si="50"/>
        <v>0</v>
      </c>
      <c r="W75" s="2"/>
      <c r="X75" s="7">
        <f t="shared" si="51"/>
        <v>0</v>
      </c>
      <c r="Y75" s="2"/>
      <c r="Z75" s="6">
        <f t="shared" si="52"/>
        <v>0</v>
      </c>
    </row>
    <row r="76" spans="1:26" s="58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3</v>
      </c>
      <c r="C79" s="25"/>
      <c r="D79" s="19">
        <f>+D21-D23+D77</f>
        <v>460.47</v>
      </c>
      <c r="E79" s="13"/>
      <c r="F79" s="21">
        <f>IF(D$12=0,0,D79/D$12)</f>
        <v>0</v>
      </c>
      <c r="G79" s="13"/>
      <c r="H79" s="19">
        <f>+H21-H23+H77</f>
        <v>-1972</v>
      </c>
      <c r="I79" s="13"/>
      <c r="J79" s="21">
        <f>IF(H$12=0,0,H79/H$12)</f>
        <v>0</v>
      </c>
      <c r="K79" s="15"/>
      <c r="L79" s="19">
        <f>+D79-H79</f>
        <v>2432.4700000000003</v>
      </c>
      <c r="M79" s="15"/>
      <c r="N79" s="21">
        <f>IF(H79=0,0,L79/H79)</f>
        <v>-1.2335040567951319</v>
      </c>
      <c r="O79" s="26"/>
      <c r="P79" s="19">
        <f>+P21-P23+P77</f>
        <v>-12792.78</v>
      </c>
      <c r="Q79" s="13"/>
      <c r="R79" s="21">
        <f>IF(P$12=0,0,P79/P$12)</f>
        <v>-13.122011262578086</v>
      </c>
      <c r="S79" s="13"/>
      <c r="T79" s="19">
        <f>+T21-T23+T77</f>
        <v>-15776</v>
      </c>
      <c r="U79" s="13"/>
      <c r="V79" s="21">
        <f>IF(T$12=0,0,T79/T$12)</f>
        <v>0</v>
      </c>
      <c r="W79" s="15"/>
      <c r="X79" s="19">
        <f>+P79-T79</f>
        <v>2983.2199999999993</v>
      </c>
      <c r="Y79" s="15"/>
      <c r="Z79" s="21">
        <f>IF(T79=0,0,X79/T79)</f>
        <v>-0.18909863083164297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16.100000000000001</v>
      </c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16.100000000000001</v>
      </c>
      <c r="M81" s="4"/>
      <c r="N81" s="12">
        <f>IF(H81=0,0,L81/H81)</f>
        <v>0</v>
      </c>
      <c r="O81" s="10"/>
      <c r="P81" s="4">
        <v>193.07</v>
      </c>
      <c r="Q81" s="4"/>
      <c r="R81" s="12">
        <f>IF(P$12=0,0,P81/P$12)</f>
        <v>0.19803879332451202</v>
      </c>
      <c r="S81" s="4"/>
      <c r="T81" s="4"/>
      <c r="U81" s="4"/>
      <c r="V81" s="12">
        <f>IF(T$12=0,0,T81/T$12)</f>
        <v>0</v>
      </c>
      <c r="W81" s="4"/>
      <c r="X81" s="4">
        <f>+P81-T81</f>
        <v>193.07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4</v>
      </c>
      <c r="C83" s="25"/>
      <c r="D83" s="34">
        <f>+D79-D81</f>
        <v>444.37</v>
      </c>
      <c r="E83" s="13"/>
      <c r="F83" s="30">
        <f>IF(D$12=0,0,D83/D$12)</f>
        <v>0</v>
      </c>
      <c r="G83" s="13"/>
      <c r="H83" s="34">
        <f>+H79-H81</f>
        <v>-1972</v>
      </c>
      <c r="I83" s="13"/>
      <c r="J83" s="30">
        <f>IF(H$12=0,0,H83/H$12)</f>
        <v>0</v>
      </c>
      <c r="K83" s="15"/>
      <c r="L83" s="34">
        <f>D83-H83</f>
        <v>2416.37</v>
      </c>
      <c r="M83" s="15"/>
      <c r="N83" s="30">
        <f>IF(H83=0,0,L83/H83)</f>
        <v>-1.2253397565922921</v>
      </c>
      <c r="O83" s="26"/>
      <c r="P83" s="34">
        <f>+P79-P81</f>
        <v>-12985.85</v>
      </c>
      <c r="Q83" s="13"/>
      <c r="R83" s="30">
        <f>IF(P$12=0,0,P83/P$12)</f>
        <v>-13.320050055902596</v>
      </c>
      <c r="S83" s="13"/>
      <c r="T83" s="34">
        <f>+T79-T81</f>
        <v>-15776</v>
      </c>
      <c r="U83" s="13"/>
      <c r="V83" s="30">
        <f>IF(T$12=0,0,T83/T$12)</f>
        <v>0</v>
      </c>
      <c r="W83" s="15"/>
      <c r="X83" s="34">
        <f>P83-T83</f>
        <v>2790.1499999999996</v>
      </c>
      <c r="Y83" s="15"/>
      <c r="Z83" s="30">
        <f>IF(T83=0,0,X83/T83)</f>
        <v>-0.1768604208924949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5</v>
      </c>
      <c r="C86" s="25"/>
      <c r="D86" s="35">
        <f>SUM(D83:D85)</f>
        <v>444.37</v>
      </c>
      <c r="E86" s="13"/>
      <c r="F86" s="31">
        <f>IF(D$12=0,0,D86/D$12)</f>
        <v>0</v>
      </c>
      <c r="G86" s="13"/>
      <c r="H86" s="35">
        <f>SUM(H83:H85)</f>
        <v>-1972</v>
      </c>
      <c r="I86" s="13"/>
      <c r="J86" s="31">
        <f>IF(H$12=0,0,H86/H$12)</f>
        <v>0</v>
      </c>
      <c r="K86" s="15"/>
      <c r="L86" s="35">
        <f>+D86-H86</f>
        <v>2416.37</v>
      </c>
      <c r="M86" s="15"/>
      <c r="N86" s="31">
        <f>IF(H86=0,0,L86/H86)</f>
        <v>-1.2253397565922921</v>
      </c>
      <c r="O86" s="26"/>
      <c r="P86" s="35">
        <f>SUM(P83:P85)</f>
        <v>-12985.85</v>
      </c>
      <c r="Q86" s="13"/>
      <c r="R86" s="31">
        <f>IF(P$12=0,0,P86/P$12)</f>
        <v>-13.320050055902596</v>
      </c>
      <c r="S86" s="13"/>
      <c r="T86" s="35">
        <f>SUM(T83:T85)</f>
        <v>-15776</v>
      </c>
      <c r="U86" s="13"/>
      <c r="V86" s="31">
        <f>IF(T$12=0,0,T86/T$12)</f>
        <v>0</v>
      </c>
      <c r="W86" s="15"/>
      <c r="X86" s="35">
        <f>+P86-T86</f>
        <v>2790.1499999999996</v>
      </c>
      <c r="Y86" s="15"/>
      <c r="Z86" s="31">
        <f>IF(T86=0,0,X86/T86)</f>
        <v>-0.1768604208924949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3">
        <v>44267.672108831015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314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50636</v>
      </c>
      <c r="I12" s="4"/>
      <c r="J12" s="12"/>
      <c r="K12" s="4"/>
      <c r="L12" s="4">
        <f t="shared" ref="L12:L16" si="0">+D12-H12</f>
        <v>-50636</v>
      </c>
      <c r="M12" s="4"/>
      <c r="N12" s="12">
        <f t="shared" ref="N12:N16" si="1">IF(H12=0,0,L12/H12)</f>
        <v>-1</v>
      </c>
      <c r="O12" s="10"/>
      <c r="P12" s="4">
        <f>SUM(OSRRefP13x_0)</f>
        <v>45135.7</v>
      </c>
      <c r="Q12" s="4"/>
      <c r="R12" s="12"/>
      <c r="S12" s="4"/>
      <c r="T12" s="4">
        <f>SUM(OSRRefT13x_0)</f>
        <v>163350</v>
      </c>
      <c r="U12" s="4"/>
      <c r="V12" s="12"/>
      <c r="W12" s="4"/>
      <c r="X12" s="4">
        <f t="shared" ref="X12:X16" si="2">+P12-T12</f>
        <v>-118214.3</v>
      </c>
      <c r="Y12" s="4"/>
      <c r="Z12" s="12">
        <f t="shared" ref="Z12:Z16" si="3">IF(T12=0,0,X12/T12)</f>
        <v>-0.72368717477808386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22"/>
      <c r="G13" s="2"/>
      <c r="H13" s="2">
        <v>15749</v>
      </c>
      <c r="I13" s="2"/>
      <c r="J13" s="22"/>
      <c r="K13" s="2"/>
      <c r="L13" s="2">
        <f t="shared" si="0"/>
        <v>-15749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50806</v>
      </c>
      <c r="U13" s="2"/>
      <c r="V13" s="22"/>
      <c r="W13" s="2"/>
      <c r="X13" s="2">
        <f t="shared" si="2"/>
        <v>-50806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34887</v>
      </c>
      <c r="I15" s="2"/>
      <c r="J15" s="22"/>
      <c r="K15" s="2"/>
      <c r="L15" s="2">
        <f t="shared" si="0"/>
        <v>-34887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112544</v>
      </c>
      <c r="U15" s="2"/>
      <c r="V15" s="22"/>
      <c r="W15" s="2"/>
      <c r="X15" s="2">
        <f t="shared" si="2"/>
        <v>-112544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--22171.22</f>
        <v>22171.22</v>
      </c>
      <c r="Q16" s="2"/>
      <c r="R16" s="22"/>
      <c r="S16" s="2"/>
      <c r="T16" s="2"/>
      <c r="U16" s="2"/>
      <c r="V16" s="22"/>
      <c r="W16" s="2"/>
      <c r="X16" s="2">
        <f t="shared" si="2"/>
        <v>22171.22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420</v>
      </c>
      <c r="E18" s="4"/>
      <c r="F18" s="12">
        <f t="shared" ref="F18:F21" si="5">IF(D$12=0,0,D18/D$12)</f>
        <v>0</v>
      </c>
      <c r="G18" s="4"/>
      <c r="H18" s="4">
        <f>SUM(OSRRefH16x_0)</f>
        <v>15697</v>
      </c>
      <c r="I18" s="4"/>
      <c r="J18" s="12">
        <f t="shared" ref="J18:J21" si="6">IF(H$12=0,0,H18/H$12)</f>
        <v>0.30999684019274826</v>
      </c>
      <c r="K18" s="4"/>
      <c r="L18" s="4">
        <f t="shared" ref="L18:L21" si="7">+D18-H18</f>
        <v>-15277</v>
      </c>
      <c r="M18" s="4"/>
      <c r="N18" s="12">
        <f t="shared" ref="N18:N21" si="8">IF(H18=0,0,L18/H18)</f>
        <v>-0.97324329489711414</v>
      </c>
      <c r="O18" s="10"/>
      <c r="P18" s="4">
        <f>SUM(OSRRefP16x_0)</f>
        <v>20593.350000000002</v>
      </c>
      <c r="Q18" s="4"/>
      <c r="R18" s="12">
        <f t="shared" ref="R18:R21" si="9">IF(P$12=0,0,P18/P$12)</f>
        <v>0.45625414029249584</v>
      </c>
      <c r="S18" s="4"/>
      <c r="T18" s="4">
        <f>SUM(OSRRefT16x_0)</f>
        <v>51308</v>
      </c>
      <c r="U18" s="4"/>
      <c r="V18" s="12">
        <f t="shared" ref="V18:V21" si="10">IF(T$12=0,0,T18/T$12)</f>
        <v>0.31409856137128866</v>
      </c>
      <c r="W18" s="4"/>
      <c r="X18" s="4">
        <f t="shared" ref="X18:X21" si="11">+P18-T18</f>
        <v>-30714.649999999998</v>
      </c>
      <c r="Y18" s="4"/>
      <c r="Z18" s="12">
        <f t="shared" ref="Z18:Z21" si="12">IF(T18=0,0,X18/T18)</f>
        <v>-0.598632766819989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15697</v>
      </c>
      <c r="I19" s="2"/>
      <c r="J19" s="22">
        <f t="shared" si="6"/>
        <v>0.30999684019274826</v>
      </c>
      <c r="K19" s="2"/>
      <c r="L19" s="2">
        <f t="shared" si="7"/>
        <v>-15697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51308</v>
      </c>
      <c r="U19" s="2"/>
      <c r="V19" s="22">
        <f t="shared" si="10"/>
        <v>0.31409856137128866</v>
      </c>
      <c r="W19" s="2"/>
      <c r="X19" s="2">
        <f t="shared" si="11"/>
        <v>-51308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14844.270000000002</v>
      </c>
      <c r="Q20" s="2"/>
      <c r="R20" s="22">
        <f t="shared" si="9"/>
        <v>0.32888090801737879</v>
      </c>
      <c r="S20" s="2"/>
      <c r="T20" s="2"/>
      <c r="U20" s="2"/>
      <c r="V20" s="22">
        <f t="shared" si="10"/>
        <v>0</v>
      </c>
      <c r="W20" s="2"/>
      <c r="X20" s="2">
        <f t="shared" si="11"/>
        <v>14844.270000000002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420</v>
      </c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420</v>
      </c>
      <c r="M21" s="2"/>
      <c r="N21" s="22">
        <f t="shared" si="8"/>
        <v>0</v>
      </c>
      <c r="O21" s="11"/>
      <c r="P21" s="2">
        <v>5749.08</v>
      </c>
      <c r="Q21" s="2"/>
      <c r="R21" s="22">
        <f t="shared" si="9"/>
        <v>0.12737323227511704</v>
      </c>
      <c r="S21" s="2"/>
      <c r="T21" s="2"/>
      <c r="U21" s="2"/>
      <c r="V21" s="22">
        <f t="shared" si="10"/>
        <v>0</v>
      </c>
      <c r="W21" s="2"/>
      <c r="X21" s="2">
        <f t="shared" si="11"/>
        <v>5749.08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19">
        <f>D12-D18</f>
        <v>-420</v>
      </c>
      <c r="E23" s="13"/>
      <c r="F23" s="21">
        <f>IF(D$12=0,0,D23/D$12)</f>
        <v>0</v>
      </c>
      <c r="G23" s="13"/>
      <c r="H23" s="19">
        <f>H12-H18</f>
        <v>34939</v>
      </c>
      <c r="I23" s="13"/>
      <c r="J23" s="21">
        <f>IF(H$12=0,0,H23/H$12)</f>
        <v>0.6900031598072518</v>
      </c>
      <c r="K23" s="15"/>
      <c r="L23" s="19">
        <f>+D23-H23</f>
        <v>-35359</v>
      </c>
      <c r="M23" s="15"/>
      <c r="N23" s="21">
        <f>IF(H23=0,0,L23/H23)</f>
        <v>-1.0120209507999656</v>
      </c>
      <c r="O23" s="26"/>
      <c r="P23" s="19">
        <f>P12-P18</f>
        <v>24542.349999999995</v>
      </c>
      <c r="Q23" s="13"/>
      <c r="R23" s="21">
        <f>IF(P$12=0,0,P23/P$12)</f>
        <v>0.54374585970750422</v>
      </c>
      <c r="S23" s="13"/>
      <c r="T23" s="19">
        <f>T12-T18</f>
        <v>112042</v>
      </c>
      <c r="U23" s="13"/>
      <c r="V23" s="21">
        <f>IF(T$12=0,0,T23/T$12)</f>
        <v>0.68590143862871134</v>
      </c>
      <c r="W23" s="15"/>
      <c r="X23" s="19">
        <f>+P23-T23</f>
        <v>-87499.650000000009</v>
      </c>
      <c r="Y23" s="15"/>
      <c r="Z23" s="21">
        <f>IF(T23=0,0,X23/T23)</f>
        <v>-0.78095401724353375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53730.95</v>
      </c>
      <c r="E25" s="20"/>
      <c r="F25" s="33">
        <f t="shared" ref="F25:F35" si="13">IF(D$12=0,0,D25/D$12)</f>
        <v>0</v>
      </c>
      <c r="G25" s="20"/>
      <c r="H25" s="20">
        <f>SUM(OSRRefH22x_0)</f>
        <v>59567.430465092308</v>
      </c>
      <c r="I25" s="20"/>
      <c r="J25" s="33">
        <f t="shared" ref="J25:J35" si="14">IF(H$12=0,0,H25/H$12)</f>
        <v>1.1763849922010488</v>
      </c>
      <c r="K25" s="4"/>
      <c r="L25" s="20">
        <f t="shared" ref="L25:L35" si="15">+D25-H25</f>
        <v>-5836.4804650923106</v>
      </c>
      <c r="M25" s="4"/>
      <c r="N25" s="33">
        <f t="shared" ref="N25:N35" si="16">IF(H25=0,0,L25/H25)</f>
        <v>-9.7981068169670393E-2</v>
      </c>
      <c r="O25" s="10"/>
      <c r="P25" s="20">
        <f>SUM(OSRRefP22x_0)</f>
        <v>495099.7699999999</v>
      </c>
      <c r="Q25" s="20"/>
      <c r="R25" s="33">
        <f t="shared" ref="R25:R35" si="17">IF(P$12=0,0,P25/P$12)</f>
        <v>10.96913906287041</v>
      </c>
      <c r="S25" s="20"/>
      <c r="T25" s="20">
        <f>SUM(OSRRefT22x_0)</f>
        <v>452033.17953794228</v>
      </c>
      <c r="U25" s="20"/>
      <c r="V25" s="33">
        <f t="shared" ref="V25:V35" si="18">IF(T$12=0,0,T25/T$12)</f>
        <v>2.767267704548162</v>
      </c>
      <c r="W25" s="4"/>
      <c r="X25" s="20">
        <f t="shared" ref="X25:X35" si="19">+P25-T25</f>
        <v>43066.590462057618</v>
      </c>
      <c r="Y25" s="4"/>
      <c r="Z25" s="33">
        <f t="shared" ref="Z25:Z35" si="20">IF(T25=0,0,X25/T25)</f>
        <v>9.5273073773211245E-2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12482.81</v>
      </c>
      <c r="E26" s="1"/>
      <c r="F26" s="5">
        <f t="shared" si="13"/>
        <v>0</v>
      </c>
      <c r="G26" s="1"/>
      <c r="H26" s="1">
        <f>SUM(OSRRefH22_0x_0)</f>
        <v>6264.1272650923102</v>
      </c>
      <c r="I26" s="1"/>
      <c r="J26" s="5">
        <f t="shared" si="14"/>
        <v>0.12370896723857157</v>
      </c>
      <c r="K26" s="1"/>
      <c r="L26" s="1">
        <f t="shared" si="15"/>
        <v>6218.6827349076893</v>
      </c>
      <c r="M26" s="1"/>
      <c r="N26" s="5">
        <f t="shared" si="16"/>
        <v>0.99274527348161223</v>
      </c>
      <c r="O26" s="14"/>
      <c r="P26" s="1">
        <f>SUM(OSRRefP22_0x_0)</f>
        <v>107252.07999999999</v>
      </c>
      <c r="Q26" s="1"/>
      <c r="R26" s="5">
        <f t="shared" si="17"/>
        <v>2.3762139503763096</v>
      </c>
      <c r="S26" s="1"/>
      <c r="T26" s="1">
        <f>SUM(OSRRefT22_0x_0)</f>
        <v>48313.7408379423</v>
      </c>
      <c r="U26" s="1"/>
      <c r="V26" s="5">
        <f t="shared" si="18"/>
        <v>0.29576823286159964</v>
      </c>
      <c r="W26" s="1"/>
      <c r="X26" s="1">
        <f t="shared" si="19"/>
        <v>58938.339162057688</v>
      </c>
      <c r="Y26" s="1"/>
      <c r="Z26" s="5">
        <f t="shared" si="20"/>
        <v>1.2199084181817599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1212.28</v>
      </c>
      <c r="E27" s="2"/>
      <c r="F27" s="6">
        <f t="shared" si="13"/>
        <v>0</v>
      </c>
      <c r="G27" s="2"/>
      <c r="H27" s="7">
        <v>638.61070740000002</v>
      </c>
      <c r="I27" s="2"/>
      <c r="J27" s="6">
        <f t="shared" si="14"/>
        <v>1.2611792151828739E-2</v>
      </c>
      <c r="K27" s="2"/>
      <c r="L27" s="7">
        <f t="shared" si="15"/>
        <v>573.66929259999995</v>
      </c>
      <c r="M27" s="2"/>
      <c r="N27" s="6">
        <f t="shared" si="16"/>
        <v>0.8983082900936652</v>
      </c>
      <c r="O27" s="11"/>
      <c r="P27" s="7">
        <v>12089.99</v>
      </c>
      <c r="Q27" s="2"/>
      <c r="R27" s="6">
        <f t="shared" si="17"/>
        <v>0.26785870164858416</v>
      </c>
      <c r="S27" s="2"/>
      <c r="T27" s="7">
        <v>5609.0118877499999</v>
      </c>
      <c r="U27" s="2"/>
      <c r="V27" s="6">
        <f t="shared" si="18"/>
        <v>3.4337385293847569E-2</v>
      </c>
      <c r="W27" s="2"/>
      <c r="X27" s="7">
        <f t="shared" si="19"/>
        <v>6480.9781122499999</v>
      </c>
      <c r="Y27" s="2"/>
      <c r="Z27" s="6">
        <f t="shared" si="20"/>
        <v>1.1554580810221424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592.94000000000005</v>
      </c>
      <c r="E28" s="2"/>
      <c r="F28" s="6">
        <f t="shared" si="13"/>
        <v>0</v>
      </c>
      <c r="G28" s="2"/>
      <c r="H28" s="7">
        <v>792.386166</v>
      </c>
      <c r="I28" s="2"/>
      <c r="J28" s="6">
        <f t="shared" si="14"/>
        <v>1.5648672209495222E-2</v>
      </c>
      <c r="K28" s="2"/>
      <c r="L28" s="7">
        <f t="shared" si="15"/>
        <v>-199.44616599999995</v>
      </c>
      <c r="M28" s="2"/>
      <c r="N28" s="6">
        <f t="shared" si="16"/>
        <v>-0.25170324086652462</v>
      </c>
      <c r="O28" s="11"/>
      <c r="P28" s="7">
        <v>5351.92</v>
      </c>
      <c r="Q28" s="2"/>
      <c r="R28" s="6">
        <f t="shared" si="17"/>
        <v>0.11857398910396871</v>
      </c>
      <c r="S28" s="2"/>
      <c r="T28" s="7">
        <v>4616.4962415</v>
      </c>
      <c r="U28" s="2"/>
      <c r="V28" s="6">
        <f t="shared" si="18"/>
        <v>2.826137888888889E-2</v>
      </c>
      <c r="W28" s="2"/>
      <c r="X28" s="7">
        <f t="shared" si="19"/>
        <v>735.42375850000008</v>
      </c>
      <c r="Y28" s="2"/>
      <c r="Z28" s="6">
        <f t="shared" si="20"/>
        <v>0.15930344573638056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6634.06</v>
      </c>
      <c r="E29" s="2"/>
      <c r="F29" s="6">
        <f t="shared" si="13"/>
        <v>0</v>
      </c>
      <c r="G29" s="2"/>
      <c r="H29" s="7">
        <v>3212.6923076923099</v>
      </c>
      <c r="I29" s="2"/>
      <c r="J29" s="6">
        <f t="shared" si="14"/>
        <v>6.3446802821950976E-2</v>
      </c>
      <c r="K29" s="2"/>
      <c r="L29" s="7">
        <f t="shared" si="15"/>
        <v>3421.3676923076905</v>
      </c>
      <c r="M29" s="2"/>
      <c r="N29" s="6">
        <f t="shared" si="16"/>
        <v>1.064953429905422</v>
      </c>
      <c r="O29" s="11"/>
      <c r="P29" s="7">
        <v>54199.51</v>
      </c>
      <c r="Q29" s="2"/>
      <c r="R29" s="6">
        <f t="shared" si="17"/>
        <v>1.2008124389341477</v>
      </c>
      <c r="S29" s="2"/>
      <c r="T29" s="7">
        <v>25827.192307692301</v>
      </c>
      <c r="U29" s="2"/>
      <c r="V29" s="6">
        <f t="shared" si="18"/>
        <v>0.15810953356407897</v>
      </c>
      <c r="W29" s="2"/>
      <c r="X29" s="7">
        <f t="shared" si="19"/>
        <v>28372.317692307701</v>
      </c>
      <c r="Y29" s="2"/>
      <c r="Z29" s="6">
        <f t="shared" si="20"/>
        <v>1.0985444083233689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52.32</v>
      </c>
      <c r="E30" s="2"/>
      <c r="F30" s="6">
        <f t="shared" si="13"/>
        <v>0</v>
      </c>
      <c r="G30" s="2"/>
      <c r="H30" s="7">
        <v>48.023403999999999</v>
      </c>
      <c r="I30" s="2"/>
      <c r="J30" s="6">
        <f t="shared" si="14"/>
        <v>9.4840437633304363E-4</v>
      </c>
      <c r="K30" s="2"/>
      <c r="L30" s="7">
        <f t="shared" si="15"/>
        <v>4.296596000000001</v>
      </c>
      <c r="M30" s="2"/>
      <c r="N30" s="6">
        <f t="shared" si="16"/>
        <v>8.9468793174261471E-2</v>
      </c>
      <c r="O30" s="11"/>
      <c r="P30" s="7">
        <v>472.51</v>
      </c>
      <c r="Q30" s="2"/>
      <c r="R30" s="6">
        <f t="shared" si="17"/>
        <v>1.0468653416253653E-2</v>
      </c>
      <c r="S30" s="2"/>
      <c r="T30" s="7">
        <v>279.78765099999998</v>
      </c>
      <c r="U30" s="2"/>
      <c r="V30" s="6">
        <f t="shared" si="18"/>
        <v>1.7128108417508417E-3</v>
      </c>
      <c r="W30" s="2"/>
      <c r="X30" s="7">
        <f t="shared" si="19"/>
        <v>192.72234900000001</v>
      </c>
      <c r="Y30" s="2"/>
      <c r="Z30" s="6">
        <f t="shared" si="20"/>
        <v>0.68881649462077232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1482.29</v>
      </c>
      <c r="E31" s="2"/>
      <c r="F31" s="6">
        <f t="shared" si="13"/>
        <v>0</v>
      </c>
      <c r="G31" s="2"/>
      <c r="H31" s="7">
        <v>434.17788000000002</v>
      </c>
      <c r="I31" s="2"/>
      <c r="J31" s="6">
        <f t="shared" si="14"/>
        <v>8.5744900861047472E-3</v>
      </c>
      <c r="K31" s="2"/>
      <c r="L31" s="7">
        <f t="shared" si="15"/>
        <v>1048.11212</v>
      </c>
      <c r="M31" s="2"/>
      <c r="N31" s="6">
        <f t="shared" si="16"/>
        <v>2.4140154721838893</v>
      </c>
      <c r="O31" s="11"/>
      <c r="P31" s="7">
        <v>12865.68</v>
      </c>
      <c r="Q31" s="2"/>
      <c r="R31" s="6">
        <f t="shared" si="17"/>
        <v>0.28504443267745933</v>
      </c>
      <c r="S31" s="2"/>
      <c r="T31" s="7">
        <v>3799.0564499999996</v>
      </c>
      <c r="U31" s="2"/>
      <c r="V31" s="6">
        <f t="shared" si="18"/>
        <v>2.3257156106519742E-2</v>
      </c>
      <c r="W31" s="2"/>
      <c r="X31" s="7">
        <f t="shared" si="19"/>
        <v>9066.6235500000003</v>
      </c>
      <c r="Y31" s="2"/>
      <c r="Z31" s="6">
        <f t="shared" si="20"/>
        <v>2.386546151479271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>
        <v>1440.4</v>
      </c>
      <c r="E33" s="2"/>
      <c r="F33" s="6">
        <f t="shared" si="13"/>
        <v>0</v>
      </c>
      <c r="G33" s="2"/>
      <c r="H33" s="7">
        <v>417.22899999999998</v>
      </c>
      <c r="I33" s="2"/>
      <c r="J33" s="6">
        <f t="shared" si="14"/>
        <v>8.2397701240224351E-3</v>
      </c>
      <c r="K33" s="2"/>
      <c r="L33" s="7">
        <f t="shared" si="15"/>
        <v>1023.171</v>
      </c>
      <c r="M33" s="2"/>
      <c r="N33" s="6">
        <f t="shared" si="16"/>
        <v>2.4523007748742298</v>
      </c>
      <c r="O33" s="11"/>
      <c r="P33" s="7">
        <v>11657.88</v>
      </c>
      <c r="Q33" s="2"/>
      <c r="R33" s="6">
        <f t="shared" si="17"/>
        <v>0.25828512685080768</v>
      </c>
      <c r="S33" s="2"/>
      <c r="T33" s="7">
        <v>3538.4837500000003</v>
      </c>
      <c r="U33" s="2"/>
      <c r="V33" s="6">
        <f t="shared" si="18"/>
        <v>2.1661975818794001E-2</v>
      </c>
      <c r="W33" s="2"/>
      <c r="X33" s="7">
        <f t="shared" si="19"/>
        <v>8119.3962499999989</v>
      </c>
      <c r="Y33" s="2"/>
      <c r="Z33" s="6">
        <f t="shared" si="20"/>
        <v>2.2945975801075811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>
        <v>872.28</v>
      </c>
      <c r="E34" s="2"/>
      <c r="F34" s="6">
        <f t="shared" si="13"/>
        <v>0</v>
      </c>
      <c r="G34" s="2"/>
      <c r="H34" s="7">
        <v>721.00779999999997</v>
      </c>
      <c r="I34" s="2"/>
      <c r="J34" s="6">
        <f t="shared" si="14"/>
        <v>1.4239035468836401E-2</v>
      </c>
      <c r="K34" s="2"/>
      <c r="L34" s="7">
        <f t="shared" si="15"/>
        <v>151.2722</v>
      </c>
      <c r="M34" s="2"/>
      <c r="N34" s="6">
        <f t="shared" si="16"/>
        <v>0.20980660680785979</v>
      </c>
      <c r="O34" s="11"/>
      <c r="P34" s="7">
        <v>7329.16</v>
      </c>
      <c r="Q34" s="2"/>
      <c r="R34" s="6">
        <f t="shared" si="17"/>
        <v>0.16238055463856771</v>
      </c>
      <c r="S34" s="2"/>
      <c r="T34" s="7">
        <v>4643.7125500000002</v>
      </c>
      <c r="U34" s="2"/>
      <c r="V34" s="6">
        <f t="shared" si="18"/>
        <v>2.8427992347719623E-2</v>
      </c>
      <c r="W34" s="2"/>
      <c r="X34" s="7">
        <f t="shared" si="19"/>
        <v>2685.4474499999997</v>
      </c>
      <c r="Y34" s="2"/>
      <c r="Z34" s="6">
        <f t="shared" si="20"/>
        <v>0.57829751972912269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7">
        <v>196.24</v>
      </c>
      <c r="E35" s="2"/>
      <c r="F35" s="6">
        <f t="shared" si="13"/>
        <v>0</v>
      </c>
      <c r="G35" s="2"/>
      <c r="H35" s="7"/>
      <c r="I35" s="2"/>
      <c r="J35" s="6">
        <f t="shared" si="14"/>
        <v>0</v>
      </c>
      <c r="K35" s="2"/>
      <c r="L35" s="7">
        <f t="shared" si="15"/>
        <v>196.24</v>
      </c>
      <c r="M35" s="2"/>
      <c r="N35" s="6">
        <f t="shared" si="16"/>
        <v>0</v>
      </c>
      <c r="O35" s="11"/>
      <c r="P35" s="7">
        <v>3285.43</v>
      </c>
      <c r="Q35" s="2"/>
      <c r="R35" s="6">
        <f t="shared" si="17"/>
        <v>7.2790053106521008E-2</v>
      </c>
      <c r="S35" s="2"/>
      <c r="T35" s="7"/>
      <c r="U35" s="2"/>
      <c r="V35" s="6">
        <f t="shared" si="18"/>
        <v>0</v>
      </c>
      <c r="W35" s="2"/>
      <c r="X35" s="7">
        <f t="shared" si="19"/>
        <v>3285.43</v>
      </c>
      <c r="Y35" s="2"/>
      <c r="Z35" s="6">
        <f t="shared" si="20"/>
        <v>0</v>
      </c>
    </row>
    <row r="36" spans="1:26" s="28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14775.8</v>
      </c>
      <c r="E36" s="1"/>
      <c r="F36" s="5">
        <f t="shared" ref="F36:F46" si="21">IF(D$12=0,0,D36/D$12)</f>
        <v>0</v>
      </c>
      <c r="G36" s="1"/>
      <c r="H36" s="1">
        <f>SUM(OSRRefH22_1x_0)</f>
        <v>17332.303199999998</v>
      </c>
      <c r="I36" s="1"/>
      <c r="J36" s="5">
        <f t="shared" ref="J36:J46" si="22">IF(H$12=0,0,H36/H$12)</f>
        <v>0.34229210838138868</v>
      </c>
      <c r="K36" s="1"/>
      <c r="L36" s="1">
        <f t="shared" ref="L36:L46" si="23">+D36-H36</f>
        <v>-2556.5031999999992</v>
      </c>
      <c r="M36" s="1"/>
      <c r="N36" s="5">
        <f t="shared" ref="N36:N46" si="24">IF(H36=0,0,L36/H36)</f>
        <v>-0.14749933522972292</v>
      </c>
      <c r="O36" s="14"/>
      <c r="P36" s="1">
        <f>SUM(OSRRefP22_1x_0)</f>
        <v>138147.60999999999</v>
      </c>
      <c r="Q36" s="1"/>
      <c r="R36" s="5">
        <f t="shared" ref="R36:R46" si="25">IF(P$12=0,0,P36/P$12)</f>
        <v>3.0607171263545263</v>
      </c>
      <c r="S36" s="1"/>
      <c r="T36" s="1">
        <f>SUM(OSRRefT22_1x_0)</f>
        <v>99428.438699999999</v>
      </c>
      <c r="U36" s="1"/>
      <c r="V36" s="5">
        <f t="shared" ref="V36:V46" si="26">IF(T$12=0,0,T36/T$12)</f>
        <v>0.60868343250688706</v>
      </c>
      <c r="W36" s="1"/>
      <c r="X36" s="1">
        <f t="shared" ref="X36:X46" si="27">+P36-T36</f>
        <v>38719.171299999987</v>
      </c>
      <c r="Y36" s="1"/>
      <c r="Z36" s="5">
        <f t="shared" ref="Z36:Z46" si="28">IF(T36=0,0,X36/T36)</f>
        <v>0.38941747256864034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7">
        <v>14166.5</v>
      </c>
      <c r="E38" s="2"/>
      <c r="F38" s="6">
        <f t="shared" si="21"/>
        <v>0</v>
      </c>
      <c r="G38" s="2"/>
      <c r="H38" s="7">
        <v>4543.7219999999998</v>
      </c>
      <c r="I38" s="2"/>
      <c r="J38" s="6">
        <f t="shared" si="22"/>
        <v>8.9733035784817117E-2</v>
      </c>
      <c r="K38" s="2"/>
      <c r="L38" s="7">
        <f t="shared" si="23"/>
        <v>9622.7780000000002</v>
      </c>
      <c r="M38" s="2"/>
      <c r="N38" s="6">
        <f t="shared" si="24"/>
        <v>2.1178183876566394</v>
      </c>
      <c r="O38" s="11"/>
      <c r="P38" s="7">
        <v>113390.81</v>
      </c>
      <c r="Q38" s="2"/>
      <c r="R38" s="6">
        <f t="shared" si="25"/>
        <v>2.5122200386833482</v>
      </c>
      <c r="S38" s="2"/>
      <c r="T38" s="7">
        <v>39757.567500000005</v>
      </c>
      <c r="U38" s="2"/>
      <c r="V38" s="6">
        <f t="shared" si="26"/>
        <v>0.24338884297520663</v>
      </c>
      <c r="W38" s="2"/>
      <c r="X38" s="7">
        <f t="shared" si="27"/>
        <v>73633.242499999993</v>
      </c>
      <c r="Y38" s="2"/>
      <c r="Z38" s="6">
        <f t="shared" si="28"/>
        <v>1.8520560268180386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7">
        <v>284.3</v>
      </c>
      <c r="E40" s="2"/>
      <c r="F40" s="6">
        <f t="shared" si="21"/>
        <v>0</v>
      </c>
      <c r="G40" s="2"/>
      <c r="H40" s="7">
        <v>2966.4</v>
      </c>
      <c r="I40" s="2"/>
      <c r="J40" s="6">
        <f t="shared" si="22"/>
        <v>5.8582826447586701E-2</v>
      </c>
      <c r="K40" s="2"/>
      <c r="L40" s="7">
        <f t="shared" si="23"/>
        <v>-2682.1</v>
      </c>
      <c r="M40" s="2"/>
      <c r="N40" s="6">
        <f t="shared" si="24"/>
        <v>-0.9041599244875943</v>
      </c>
      <c r="O40" s="11"/>
      <c r="P40" s="7">
        <v>21769.38</v>
      </c>
      <c r="Q40" s="2"/>
      <c r="R40" s="6">
        <f t="shared" si="25"/>
        <v>0.48230956870060732</v>
      </c>
      <c r="S40" s="2"/>
      <c r="T40" s="7">
        <v>23935.14</v>
      </c>
      <c r="U40" s="2"/>
      <c r="V40" s="6">
        <f t="shared" si="26"/>
        <v>0.1465267217630854</v>
      </c>
      <c r="W40" s="2"/>
      <c r="X40" s="7">
        <f t="shared" si="27"/>
        <v>-2165.7599999999984</v>
      </c>
      <c r="Y40" s="2"/>
      <c r="Z40" s="6">
        <f t="shared" si="28"/>
        <v>-9.0484534454362844E-2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1"/>
        <v>0</v>
      </c>
      <c r="G41" s="2"/>
      <c r="H41" s="7">
        <v>6839.6639999999998</v>
      </c>
      <c r="I41" s="2"/>
      <c r="J41" s="6">
        <f t="shared" si="22"/>
        <v>0.13507512441741054</v>
      </c>
      <c r="K41" s="2"/>
      <c r="L41" s="7">
        <f t="shared" si="23"/>
        <v>-6839.6639999999998</v>
      </c>
      <c r="M41" s="2"/>
      <c r="N41" s="6">
        <f t="shared" si="24"/>
        <v>-1</v>
      </c>
      <c r="O41" s="11"/>
      <c r="P41" s="7">
        <v>2431.71</v>
      </c>
      <c r="Q41" s="2"/>
      <c r="R41" s="6">
        <f t="shared" si="25"/>
        <v>5.3875535330126713E-2</v>
      </c>
      <c r="S41" s="2"/>
      <c r="T41" s="7">
        <v>18536.7</v>
      </c>
      <c r="U41" s="2"/>
      <c r="V41" s="6">
        <f t="shared" si="26"/>
        <v>0.11347842056932966</v>
      </c>
      <c r="W41" s="2"/>
      <c r="X41" s="7">
        <f t="shared" si="27"/>
        <v>-16104.990000000002</v>
      </c>
      <c r="Y41" s="2"/>
      <c r="Z41" s="6">
        <f t="shared" si="28"/>
        <v>-0.86881645600349577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>
        <v>325</v>
      </c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325</v>
      </c>
      <c r="M43" s="2"/>
      <c r="N43" s="6">
        <f t="shared" si="24"/>
        <v>0</v>
      </c>
      <c r="O43" s="11"/>
      <c r="P43" s="7">
        <v>555.71</v>
      </c>
      <c r="Q43" s="2"/>
      <c r="R43" s="6">
        <f t="shared" si="25"/>
        <v>1.2311983640444262E-2</v>
      </c>
      <c r="S43" s="2"/>
      <c r="T43" s="7">
        <v>2446.34</v>
      </c>
      <c r="U43" s="2"/>
      <c r="V43" s="6">
        <f t="shared" si="26"/>
        <v>1.497606366697276E-2</v>
      </c>
      <c r="W43" s="2"/>
      <c r="X43" s="7">
        <f t="shared" si="27"/>
        <v>-1890.63</v>
      </c>
      <c r="Y43" s="2"/>
      <c r="Z43" s="6">
        <f t="shared" si="28"/>
        <v>-0.77284024297522014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1"/>
        <v>0</v>
      </c>
      <c r="G44" s="2"/>
      <c r="H44" s="7">
        <v>2982.5171999999998</v>
      </c>
      <c r="I44" s="2"/>
      <c r="J44" s="6">
        <f t="shared" si="22"/>
        <v>5.8901121731574371E-2</v>
      </c>
      <c r="K44" s="2"/>
      <c r="L44" s="7">
        <f t="shared" si="23"/>
        <v>-2982.5171999999998</v>
      </c>
      <c r="M44" s="2"/>
      <c r="N44" s="6">
        <f t="shared" si="24"/>
        <v>-1</v>
      </c>
      <c r="O44" s="11"/>
      <c r="P44" s="7"/>
      <c r="Q44" s="2"/>
      <c r="R44" s="6">
        <f t="shared" si="25"/>
        <v>0</v>
      </c>
      <c r="S44" s="2"/>
      <c r="T44" s="7">
        <v>14752.691199999999</v>
      </c>
      <c r="U44" s="2"/>
      <c r="V44" s="6">
        <f t="shared" si="26"/>
        <v>9.0313383532292624E-2</v>
      </c>
      <c r="W44" s="2"/>
      <c r="X44" s="7">
        <f t="shared" si="27"/>
        <v>-14752.691199999999</v>
      </c>
      <c r="Y44" s="2"/>
      <c r="Z44" s="6">
        <f t="shared" si="28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8" customFormat="1" outlineLevel="1" collapsed="1" x14ac:dyDescent="0.25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-5.35</v>
      </c>
      <c r="E47" s="1"/>
      <c r="F47" s="5">
        <f t="shared" ref="F47:F55" si="29">IF(D$12=0,0,D47/D$12)</f>
        <v>0</v>
      </c>
      <c r="G47" s="1"/>
      <c r="H47" s="1">
        <f>SUM(OSRRefH22_2x_0)</f>
        <v>1076</v>
      </c>
      <c r="I47" s="1"/>
      <c r="J47" s="5">
        <f t="shared" ref="J47:J55" si="30">IF(H$12=0,0,H47/H$12)</f>
        <v>2.1249703768070147E-2</v>
      </c>
      <c r="K47" s="1"/>
      <c r="L47" s="1">
        <f t="shared" ref="L47:L55" si="31">+D47-H47</f>
        <v>-1081.3499999999999</v>
      </c>
      <c r="M47" s="1"/>
      <c r="N47" s="5">
        <f t="shared" ref="N47:N55" si="32">IF(H47=0,0,L47/H47)</f>
        <v>-1.0049721189591077</v>
      </c>
      <c r="O47" s="14"/>
      <c r="P47" s="1">
        <f>SUM(OSRRefP22_2x_0)</f>
        <v>134</v>
      </c>
      <c r="Q47" s="1"/>
      <c r="R47" s="5">
        <f t="shared" ref="R47:R55" si="33">IF(P$12=0,0,P47/P$12)</f>
        <v>2.9688251206916034E-3</v>
      </c>
      <c r="S47" s="1"/>
      <c r="T47" s="1">
        <f>SUM(OSRRefT22_2x_0)</f>
        <v>5259</v>
      </c>
      <c r="U47" s="1"/>
      <c r="V47" s="5">
        <f t="shared" ref="V47:V55" si="34">IF(T$12=0,0,T47/T$12)</f>
        <v>3.2194674012855834E-2</v>
      </c>
      <c r="W47" s="1"/>
      <c r="X47" s="1">
        <f t="shared" ref="X47:X55" si="35">+P47-T47</f>
        <v>-5125</v>
      </c>
      <c r="Y47" s="1"/>
      <c r="Z47" s="5">
        <f t="shared" ref="Z47:Z55" si="36">IF(T47=0,0,X47/T47)</f>
        <v>-0.97451987069785129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-5.35</v>
      </c>
      <c r="E48" s="2"/>
      <c r="F48" s="6">
        <f t="shared" si="29"/>
        <v>0</v>
      </c>
      <c r="G48" s="2"/>
      <c r="H48" s="7">
        <v>1076</v>
      </c>
      <c r="I48" s="2"/>
      <c r="J48" s="6">
        <f t="shared" si="30"/>
        <v>2.1249703768070147E-2</v>
      </c>
      <c r="K48" s="2"/>
      <c r="L48" s="7">
        <f t="shared" si="31"/>
        <v>-1081.3499999999999</v>
      </c>
      <c r="M48" s="2"/>
      <c r="N48" s="6">
        <f t="shared" si="32"/>
        <v>-1.0049721189591077</v>
      </c>
      <c r="O48" s="11"/>
      <c r="P48" s="7">
        <v>134</v>
      </c>
      <c r="Q48" s="2"/>
      <c r="R48" s="6">
        <f t="shared" si="33"/>
        <v>2.9688251206916034E-3</v>
      </c>
      <c r="S48" s="2"/>
      <c r="T48" s="7">
        <v>5259</v>
      </c>
      <c r="U48" s="2"/>
      <c r="V48" s="6">
        <f t="shared" si="34"/>
        <v>3.2194674012855834E-2</v>
      </c>
      <c r="W48" s="2"/>
      <c r="X48" s="7">
        <f t="shared" si="35"/>
        <v>-5125</v>
      </c>
      <c r="Y48" s="2"/>
      <c r="Z48" s="6">
        <f t="shared" si="36"/>
        <v>-0.97451987069785129</v>
      </c>
    </row>
    <row r="49" spans="1:26" s="28" customFormat="1" outlineLevel="1" collapsed="1" x14ac:dyDescent="0.25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5</v>
      </c>
      <c r="I49" s="1"/>
      <c r="J49" s="5">
        <f t="shared" si="30"/>
        <v>9.8743976617426333E-5</v>
      </c>
      <c r="K49" s="1"/>
      <c r="L49" s="1">
        <f t="shared" si="31"/>
        <v>-5</v>
      </c>
      <c r="M49" s="1"/>
      <c r="N49" s="5">
        <f t="shared" si="32"/>
        <v>-1</v>
      </c>
      <c r="O49" s="14"/>
      <c r="P49" s="1">
        <f>SUM(OSRRefP22_3x_0)</f>
        <v>8.7899999999999991</v>
      </c>
      <c r="Q49" s="1"/>
      <c r="R49" s="5">
        <f t="shared" si="33"/>
        <v>1.9474606575282978E-4</v>
      </c>
      <c r="S49" s="1"/>
      <c r="T49" s="1">
        <f>SUM(OSRRefT22_3x_0)</f>
        <v>70</v>
      </c>
      <c r="U49" s="1"/>
      <c r="V49" s="5">
        <f t="shared" si="34"/>
        <v>4.2852770125497396E-4</v>
      </c>
      <c r="W49" s="1"/>
      <c r="X49" s="1">
        <f t="shared" si="35"/>
        <v>-61.21</v>
      </c>
      <c r="Y49" s="1"/>
      <c r="Z49" s="5">
        <f t="shared" si="36"/>
        <v>-0.87442857142857144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7"/>
      <c r="E50" s="2"/>
      <c r="F50" s="6">
        <f t="shared" si="29"/>
        <v>0</v>
      </c>
      <c r="G50" s="2"/>
      <c r="H50" s="7">
        <v>5</v>
      </c>
      <c r="I50" s="2"/>
      <c r="J50" s="6">
        <f t="shared" si="30"/>
        <v>9.8743976617426333E-5</v>
      </c>
      <c r="K50" s="2"/>
      <c r="L50" s="7">
        <f t="shared" si="31"/>
        <v>-5</v>
      </c>
      <c r="M50" s="2"/>
      <c r="N50" s="6">
        <f t="shared" si="32"/>
        <v>-1</v>
      </c>
      <c r="O50" s="11"/>
      <c r="P50" s="7">
        <v>8.7899999999999991</v>
      </c>
      <c r="Q50" s="2"/>
      <c r="R50" s="6">
        <f t="shared" si="33"/>
        <v>1.9474606575282978E-4</v>
      </c>
      <c r="S50" s="2"/>
      <c r="T50" s="7">
        <v>70</v>
      </c>
      <c r="U50" s="2"/>
      <c r="V50" s="6">
        <f t="shared" si="34"/>
        <v>4.2852770125497396E-4</v>
      </c>
      <c r="W50" s="2"/>
      <c r="X50" s="7">
        <f t="shared" si="35"/>
        <v>-61.21</v>
      </c>
      <c r="Y50" s="2"/>
      <c r="Z50" s="6">
        <f t="shared" si="36"/>
        <v>-0.87442857142857144</v>
      </c>
    </row>
    <row r="51" spans="1:26" s="28" customFormat="1" outlineLevel="1" collapsed="1" x14ac:dyDescent="0.25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74.95</v>
      </c>
      <c r="E51" s="1"/>
      <c r="F51" s="5">
        <f t="shared" si="29"/>
        <v>0</v>
      </c>
      <c r="G51" s="1"/>
      <c r="H51" s="1">
        <f>SUM(OSRRefH22_4x_0)</f>
        <v>3095</v>
      </c>
      <c r="I51" s="1"/>
      <c r="J51" s="5">
        <f t="shared" si="30"/>
        <v>6.1122521526186906E-2</v>
      </c>
      <c r="K51" s="1"/>
      <c r="L51" s="1">
        <f t="shared" si="31"/>
        <v>-3020.05</v>
      </c>
      <c r="M51" s="1"/>
      <c r="N51" s="5">
        <f t="shared" si="32"/>
        <v>-0.97578352180937</v>
      </c>
      <c r="O51" s="14"/>
      <c r="P51" s="1">
        <f>SUM(OSRRefP22_4x_0)</f>
        <v>1320.9</v>
      </c>
      <c r="Q51" s="1"/>
      <c r="R51" s="5">
        <f t="shared" si="33"/>
        <v>2.9265082850160742E-2</v>
      </c>
      <c r="S51" s="1"/>
      <c r="T51" s="1">
        <f>SUM(OSRRefT22_4x_0)</f>
        <v>24163</v>
      </c>
      <c r="U51" s="1"/>
      <c r="V51" s="5">
        <f t="shared" si="34"/>
        <v>0.14792164064891339</v>
      </c>
      <c r="W51" s="1"/>
      <c r="X51" s="1">
        <f t="shared" si="35"/>
        <v>-22842.1</v>
      </c>
      <c r="Y51" s="1"/>
      <c r="Z51" s="5">
        <f t="shared" si="36"/>
        <v>-0.94533377477962166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74.95</v>
      </c>
      <c r="E52" s="2"/>
      <c r="F52" s="6">
        <f t="shared" si="29"/>
        <v>0</v>
      </c>
      <c r="G52" s="2"/>
      <c r="H52" s="7">
        <v>3095</v>
      </c>
      <c r="I52" s="2"/>
      <c r="J52" s="6">
        <f t="shared" si="30"/>
        <v>6.1122521526186906E-2</v>
      </c>
      <c r="K52" s="2"/>
      <c r="L52" s="7">
        <f t="shared" si="31"/>
        <v>-3020.05</v>
      </c>
      <c r="M52" s="2"/>
      <c r="N52" s="6">
        <f t="shared" si="32"/>
        <v>-0.97578352180937</v>
      </c>
      <c r="O52" s="11"/>
      <c r="P52" s="7">
        <v>1320.9</v>
      </c>
      <c r="Q52" s="2"/>
      <c r="R52" s="6">
        <f t="shared" si="33"/>
        <v>2.9265082850160742E-2</v>
      </c>
      <c r="S52" s="2"/>
      <c r="T52" s="7">
        <v>24163</v>
      </c>
      <c r="U52" s="2"/>
      <c r="V52" s="6">
        <f t="shared" si="34"/>
        <v>0.14792164064891339</v>
      </c>
      <c r="W52" s="2"/>
      <c r="X52" s="7">
        <f t="shared" si="35"/>
        <v>-22842.1</v>
      </c>
      <c r="Y52" s="2"/>
      <c r="Z52" s="6">
        <f t="shared" si="36"/>
        <v>-0.94533377477962166</v>
      </c>
    </row>
    <row r="53" spans="1:26" s="28" customFormat="1" outlineLevel="1" collapsed="1" x14ac:dyDescent="0.25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13902.32</v>
      </c>
      <c r="E53" s="1"/>
      <c r="F53" s="5">
        <f t="shared" si="29"/>
        <v>0</v>
      </c>
      <c r="G53" s="1"/>
      <c r="H53" s="1">
        <f>SUM(OSRRefH22_5x_0)</f>
        <v>13630</v>
      </c>
      <c r="I53" s="1"/>
      <c r="J53" s="5">
        <f t="shared" si="30"/>
        <v>0.26917608025910422</v>
      </c>
      <c r="K53" s="1"/>
      <c r="L53" s="1">
        <f t="shared" si="31"/>
        <v>272.31999999999971</v>
      </c>
      <c r="M53" s="1"/>
      <c r="N53" s="5">
        <f t="shared" si="32"/>
        <v>1.997945707997063E-2</v>
      </c>
      <c r="O53" s="14"/>
      <c r="P53" s="1">
        <f>SUM(OSRRefP22_5x_0)</f>
        <v>111183.84</v>
      </c>
      <c r="Q53" s="1"/>
      <c r="R53" s="5">
        <f t="shared" si="33"/>
        <v>2.463323710499671</v>
      </c>
      <c r="S53" s="1"/>
      <c r="T53" s="1">
        <f>SUM(OSRRefT22_5x_0)</f>
        <v>109268</v>
      </c>
      <c r="U53" s="1"/>
      <c r="V53" s="5">
        <f t="shared" si="34"/>
        <v>0.66891949801040707</v>
      </c>
      <c r="W53" s="1"/>
      <c r="X53" s="1">
        <f t="shared" si="35"/>
        <v>1915.8399999999965</v>
      </c>
      <c r="Y53" s="1"/>
      <c r="Z53" s="5">
        <f t="shared" si="36"/>
        <v>1.7533404107332399E-2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10597.26</v>
      </c>
      <c r="M54" s="2"/>
      <c r="N54" s="6">
        <f t="shared" si="32"/>
        <v>0</v>
      </c>
      <c r="O54" s="11"/>
      <c r="P54" s="7">
        <v>84778.08</v>
      </c>
      <c r="Q54" s="2"/>
      <c r="R54" s="6">
        <f t="shared" si="33"/>
        <v>1.8782932357313613</v>
      </c>
      <c r="S54" s="2"/>
      <c r="T54" s="7"/>
      <c r="U54" s="2"/>
      <c r="V54" s="6">
        <f t="shared" si="34"/>
        <v>0</v>
      </c>
      <c r="W54" s="2"/>
      <c r="X54" s="7">
        <f t="shared" si="35"/>
        <v>84778.08</v>
      </c>
      <c r="Y54" s="2"/>
      <c r="Z54" s="6">
        <f t="shared" si="36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9"/>
        <v>0</v>
      </c>
      <c r="G55" s="2"/>
      <c r="H55" s="7">
        <v>13630</v>
      </c>
      <c r="I55" s="2"/>
      <c r="J55" s="6">
        <f t="shared" si="30"/>
        <v>0.26917608025910422</v>
      </c>
      <c r="K55" s="2"/>
      <c r="L55" s="7">
        <f t="shared" si="31"/>
        <v>-10324.94</v>
      </c>
      <c r="M55" s="2"/>
      <c r="N55" s="6">
        <f t="shared" si="32"/>
        <v>-0.75751577402787973</v>
      </c>
      <c r="O55" s="11"/>
      <c r="P55" s="7">
        <v>26405.759999999998</v>
      </c>
      <c r="Q55" s="2"/>
      <c r="R55" s="6">
        <f t="shared" si="33"/>
        <v>0.58503047476830983</v>
      </c>
      <c r="S55" s="2"/>
      <c r="T55" s="7">
        <v>109268</v>
      </c>
      <c r="U55" s="2"/>
      <c r="V55" s="6">
        <f t="shared" si="34"/>
        <v>0.66891949801040707</v>
      </c>
      <c r="W55" s="2"/>
      <c r="X55" s="7">
        <f t="shared" si="35"/>
        <v>-82862.240000000005</v>
      </c>
      <c r="Y55" s="2"/>
      <c r="Z55" s="6">
        <f t="shared" si="36"/>
        <v>-0.75833949555222024</v>
      </c>
    </row>
    <row r="56" spans="1:26" s="28" customFormat="1" outlineLevel="1" collapsed="1" x14ac:dyDescent="0.25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8" si="37">IF(D$12=0,0,D56/D$12)</f>
        <v>0</v>
      </c>
      <c r="G56" s="1"/>
      <c r="H56" s="1">
        <f>SUM(OSRRefH22_6x_0)</f>
        <v>0</v>
      </c>
      <c r="I56" s="1"/>
      <c r="J56" s="5">
        <f t="shared" ref="J56:J68" si="38">IF(H$12=0,0,H56/H$12)</f>
        <v>0</v>
      </c>
      <c r="K56" s="1"/>
      <c r="L56" s="1">
        <f t="shared" ref="L56:L68" si="39">+D56-H56</f>
        <v>0</v>
      </c>
      <c r="M56" s="1"/>
      <c r="N56" s="5">
        <f t="shared" ref="N56:N68" si="40">IF(H56=0,0,L56/H56)</f>
        <v>0</v>
      </c>
      <c r="O56" s="14"/>
      <c r="P56" s="1">
        <f>SUM(OSRRefP22_6x_0)</f>
        <v>10</v>
      </c>
      <c r="Q56" s="1"/>
      <c r="R56" s="5">
        <f t="shared" ref="R56:R68" si="41">IF(P$12=0,0,P56/P$12)</f>
        <v>2.2155411348444802E-4</v>
      </c>
      <c r="S56" s="1"/>
      <c r="T56" s="1">
        <f>SUM(OSRRefT22_6x_0)</f>
        <v>100</v>
      </c>
      <c r="U56" s="1"/>
      <c r="V56" s="5">
        <f t="shared" ref="V56:V68" si="42">IF(T$12=0,0,T56/T$12)</f>
        <v>6.1218243036424854E-4</v>
      </c>
      <c r="W56" s="1"/>
      <c r="X56" s="1">
        <f t="shared" ref="X56:X68" si="43">+P56-T56</f>
        <v>-90</v>
      </c>
      <c r="Y56" s="1"/>
      <c r="Z56" s="5">
        <f t="shared" ref="Z56:Z68" si="44">IF(T56=0,0,X56/T56)</f>
        <v>-0.9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7"/>
        <v>0</v>
      </c>
      <c r="G57" s="2"/>
      <c r="H57" s="7"/>
      <c r="I57" s="2"/>
      <c r="J57" s="6">
        <f t="shared" si="38"/>
        <v>0</v>
      </c>
      <c r="K57" s="2"/>
      <c r="L57" s="7">
        <f t="shared" si="39"/>
        <v>0</v>
      </c>
      <c r="M57" s="2"/>
      <c r="N57" s="6">
        <f t="shared" si="40"/>
        <v>0</v>
      </c>
      <c r="O57" s="11"/>
      <c r="P57" s="7">
        <v>10</v>
      </c>
      <c r="Q57" s="2"/>
      <c r="R57" s="6">
        <f t="shared" si="41"/>
        <v>2.2155411348444802E-4</v>
      </c>
      <c r="S57" s="2"/>
      <c r="T57" s="7">
        <v>100</v>
      </c>
      <c r="U57" s="2"/>
      <c r="V57" s="6">
        <f t="shared" si="42"/>
        <v>6.1218243036424854E-4</v>
      </c>
      <c r="W57" s="2"/>
      <c r="X57" s="7">
        <f t="shared" si="43"/>
        <v>-90</v>
      </c>
      <c r="Y57" s="2"/>
      <c r="Z57" s="6">
        <f t="shared" si="44"/>
        <v>-0.9</v>
      </c>
    </row>
    <row r="58" spans="1:26" s="28" customFormat="1" outlineLevel="1" collapsed="1" x14ac:dyDescent="0.25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255.55</v>
      </c>
      <c r="E58" s="1"/>
      <c r="F58" s="5">
        <f t="shared" si="37"/>
        <v>0</v>
      </c>
      <c r="G58" s="1"/>
      <c r="H58" s="1">
        <f>SUM(OSRRefH22_7x_0)</f>
        <v>103</v>
      </c>
      <c r="I58" s="1"/>
      <c r="J58" s="5">
        <f t="shared" si="38"/>
        <v>2.0341259183189824E-3</v>
      </c>
      <c r="K58" s="1"/>
      <c r="L58" s="1">
        <f t="shared" si="39"/>
        <v>152.55000000000001</v>
      </c>
      <c r="M58" s="1"/>
      <c r="N58" s="5">
        <f t="shared" si="40"/>
        <v>1.4810679611650486</v>
      </c>
      <c r="O58" s="14"/>
      <c r="P58" s="1">
        <f>SUM(OSRRefP22_7x_0)</f>
        <v>1255.6199999999999</v>
      </c>
      <c r="Q58" s="1"/>
      <c r="R58" s="5">
        <f t="shared" si="41"/>
        <v>2.7818777597334261E-2</v>
      </c>
      <c r="S58" s="1"/>
      <c r="T58" s="1">
        <f>SUM(OSRRefT22_7x_0)</f>
        <v>938</v>
      </c>
      <c r="U58" s="1"/>
      <c r="V58" s="5">
        <f t="shared" si="42"/>
        <v>5.7422711968166517E-3</v>
      </c>
      <c r="W58" s="1"/>
      <c r="X58" s="1">
        <f t="shared" si="43"/>
        <v>317.61999999999989</v>
      </c>
      <c r="Y58" s="1"/>
      <c r="Z58" s="5">
        <f t="shared" si="44"/>
        <v>0.3386140724946694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255.55</v>
      </c>
      <c r="E59" s="2"/>
      <c r="F59" s="6">
        <f t="shared" si="37"/>
        <v>0</v>
      </c>
      <c r="G59" s="2"/>
      <c r="H59" s="7">
        <v>103</v>
      </c>
      <c r="I59" s="2"/>
      <c r="J59" s="6">
        <f t="shared" si="38"/>
        <v>2.0341259183189824E-3</v>
      </c>
      <c r="K59" s="2"/>
      <c r="L59" s="7">
        <f t="shared" si="39"/>
        <v>152.55000000000001</v>
      </c>
      <c r="M59" s="2"/>
      <c r="N59" s="6">
        <f t="shared" si="40"/>
        <v>1.4810679611650486</v>
      </c>
      <c r="O59" s="11"/>
      <c r="P59" s="7">
        <v>1255.6199999999999</v>
      </c>
      <c r="Q59" s="2"/>
      <c r="R59" s="6">
        <f t="shared" si="41"/>
        <v>2.7818777597334261E-2</v>
      </c>
      <c r="S59" s="2"/>
      <c r="T59" s="7">
        <v>938</v>
      </c>
      <c r="U59" s="2"/>
      <c r="V59" s="6">
        <f t="shared" si="42"/>
        <v>5.7422711968166517E-3</v>
      </c>
      <c r="W59" s="2"/>
      <c r="X59" s="7">
        <f t="shared" si="43"/>
        <v>317.61999999999989</v>
      </c>
      <c r="Y59" s="2"/>
      <c r="Z59" s="6">
        <f t="shared" si="44"/>
        <v>0.3386140724946694</v>
      </c>
    </row>
    <row r="60" spans="1:26" s="28" customFormat="1" outlineLevel="1" collapsed="1" x14ac:dyDescent="0.25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88.62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88.62</v>
      </c>
      <c r="M60" s="1"/>
      <c r="N60" s="5">
        <f t="shared" si="40"/>
        <v>0</v>
      </c>
      <c r="O60" s="14"/>
      <c r="P60" s="1">
        <f>SUM(OSRRefP22_8x_0)</f>
        <v>2498.69</v>
      </c>
      <c r="Q60" s="1"/>
      <c r="R60" s="5">
        <f t="shared" si="41"/>
        <v>5.5359504782245543E-2</v>
      </c>
      <c r="S60" s="1"/>
      <c r="T60" s="1">
        <f>SUM(OSRRefT22_8x_0)</f>
        <v>1810</v>
      </c>
      <c r="U60" s="1"/>
      <c r="V60" s="5">
        <f t="shared" si="42"/>
        <v>1.1080501989592898E-2</v>
      </c>
      <c r="W60" s="1"/>
      <c r="X60" s="1">
        <f t="shared" si="43"/>
        <v>688.69</v>
      </c>
      <c r="Y60" s="1"/>
      <c r="Z60" s="5">
        <f t="shared" si="44"/>
        <v>0.38049171270718235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7">
        <v>88.62</v>
      </c>
      <c r="E61" s="2"/>
      <c r="F61" s="6">
        <f t="shared" si="37"/>
        <v>0</v>
      </c>
      <c r="G61" s="2"/>
      <c r="H61" s="7">
        <v>0</v>
      </c>
      <c r="I61" s="2"/>
      <c r="J61" s="6">
        <f t="shared" si="38"/>
        <v>0</v>
      </c>
      <c r="K61" s="2"/>
      <c r="L61" s="7">
        <f t="shared" si="39"/>
        <v>88.62</v>
      </c>
      <c r="M61" s="2"/>
      <c r="N61" s="6">
        <f t="shared" si="40"/>
        <v>0</v>
      </c>
      <c r="O61" s="11"/>
      <c r="P61" s="7">
        <v>2498.69</v>
      </c>
      <c r="Q61" s="2"/>
      <c r="R61" s="6">
        <f t="shared" si="41"/>
        <v>5.5359504782245543E-2</v>
      </c>
      <c r="S61" s="2"/>
      <c r="T61" s="7">
        <v>1810</v>
      </c>
      <c r="U61" s="2"/>
      <c r="V61" s="6">
        <f t="shared" si="42"/>
        <v>1.1080501989592898E-2</v>
      </c>
      <c r="W61" s="2"/>
      <c r="X61" s="7">
        <f t="shared" si="43"/>
        <v>688.69</v>
      </c>
      <c r="Y61" s="2"/>
      <c r="Z61" s="6">
        <f t="shared" si="44"/>
        <v>0.38049171270718235</v>
      </c>
    </row>
    <row r="62" spans="1:26" s="28" customFormat="1" outlineLevel="1" collapsed="1" x14ac:dyDescent="0.25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641.28</v>
      </c>
      <c r="E62" s="1"/>
      <c r="F62" s="5">
        <f t="shared" si="37"/>
        <v>0</v>
      </c>
      <c r="G62" s="1"/>
      <c r="H62" s="1">
        <f>SUM(OSRRefH22_9x_0)</f>
        <v>705</v>
      </c>
      <c r="I62" s="1"/>
      <c r="J62" s="5">
        <f t="shared" si="38"/>
        <v>1.3922900703057113E-2</v>
      </c>
      <c r="K62" s="1"/>
      <c r="L62" s="1">
        <f t="shared" si="39"/>
        <v>-63.720000000000027</v>
      </c>
      <c r="M62" s="1"/>
      <c r="N62" s="5">
        <f t="shared" si="40"/>
        <v>-9.0382978723404298E-2</v>
      </c>
      <c r="O62" s="14"/>
      <c r="P62" s="1">
        <f>SUM(OSRRefP22_9x_0)</f>
        <v>5130.24</v>
      </c>
      <c r="Q62" s="1"/>
      <c r="R62" s="5">
        <f t="shared" si="41"/>
        <v>0.11366257751624546</v>
      </c>
      <c r="S62" s="1"/>
      <c r="T62" s="1">
        <f>SUM(OSRRefT22_9x_0)</f>
        <v>5640</v>
      </c>
      <c r="U62" s="1"/>
      <c r="V62" s="5">
        <f t="shared" si="42"/>
        <v>3.4527089072543621E-2</v>
      </c>
      <c r="W62" s="1"/>
      <c r="X62" s="1">
        <f t="shared" si="43"/>
        <v>-509.76000000000022</v>
      </c>
      <c r="Y62" s="1"/>
      <c r="Z62" s="5">
        <f t="shared" si="44"/>
        <v>-9.0382978723404298E-2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7"/>
        <v>0</v>
      </c>
      <c r="G63" s="2"/>
      <c r="H63" s="7">
        <v>705</v>
      </c>
      <c r="I63" s="2"/>
      <c r="J63" s="6">
        <f t="shared" si="38"/>
        <v>1.3922900703057113E-2</v>
      </c>
      <c r="K63" s="2"/>
      <c r="L63" s="7">
        <f t="shared" si="39"/>
        <v>-63.720000000000027</v>
      </c>
      <c r="M63" s="2"/>
      <c r="N63" s="6">
        <f t="shared" si="40"/>
        <v>-9.0382978723404298E-2</v>
      </c>
      <c r="O63" s="11"/>
      <c r="P63" s="7">
        <v>5130.24</v>
      </c>
      <c r="Q63" s="2"/>
      <c r="R63" s="6">
        <f t="shared" si="41"/>
        <v>0.11366257751624546</v>
      </c>
      <c r="S63" s="2"/>
      <c r="T63" s="7">
        <v>5640</v>
      </c>
      <c r="U63" s="2"/>
      <c r="V63" s="6">
        <f t="shared" si="42"/>
        <v>3.4527089072543621E-2</v>
      </c>
      <c r="W63" s="2"/>
      <c r="X63" s="7">
        <f t="shared" si="43"/>
        <v>-509.76000000000022</v>
      </c>
      <c r="Y63" s="2"/>
      <c r="Z63" s="6">
        <f t="shared" si="44"/>
        <v>-9.0382978723404298E-2</v>
      </c>
    </row>
    <row r="64" spans="1:26" s="28" customFormat="1" outlineLevel="1" collapsed="1" x14ac:dyDescent="0.25">
      <c r="A64" s="29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7510</v>
      </c>
      <c r="E64" s="1"/>
      <c r="F64" s="5">
        <f t="shared" si="37"/>
        <v>0</v>
      </c>
      <c r="G64" s="1"/>
      <c r="H64" s="1">
        <f>SUM(OSRRefH22_10x_0)</f>
        <v>7510</v>
      </c>
      <c r="I64" s="1"/>
      <c r="J64" s="5">
        <f t="shared" si="38"/>
        <v>0.14831345287937436</v>
      </c>
      <c r="K64" s="1"/>
      <c r="L64" s="1">
        <f t="shared" si="39"/>
        <v>0</v>
      </c>
      <c r="M64" s="1"/>
      <c r="N64" s="5">
        <f t="shared" si="40"/>
        <v>0</v>
      </c>
      <c r="O64" s="14"/>
      <c r="P64" s="1">
        <f>SUM(OSRRefP22_10x_0)</f>
        <v>59593.149999999994</v>
      </c>
      <c r="Q64" s="1"/>
      <c r="R64" s="5">
        <f t="shared" si="41"/>
        <v>1.3203107517995731</v>
      </c>
      <c r="S64" s="1"/>
      <c r="T64" s="1">
        <f>SUM(OSRRefT22_10x_0)</f>
        <v>60080</v>
      </c>
      <c r="U64" s="1"/>
      <c r="V64" s="5">
        <f t="shared" si="42"/>
        <v>0.36779920416284051</v>
      </c>
      <c r="W64" s="1"/>
      <c r="X64" s="1">
        <f t="shared" si="43"/>
        <v>-486.85000000000582</v>
      </c>
      <c r="Y64" s="1"/>
      <c r="Z64" s="5">
        <f t="shared" si="44"/>
        <v>-8.1033621837550904E-3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7">
        <v>7510</v>
      </c>
      <c r="E65" s="2"/>
      <c r="F65" s="6">
        <f t="shared" si="37"/>
        <v>0</v>
      </c>
      <c r="G65" s="2"/>
      <c r="H65" s="7">
        <v>7510</v>
      </c>
      <c r="I65" s="2"/>
      <c r="J65" s="6">
        <f t="shared" si="38"/>
        <v>0.14831345287937436</v>
      </c>
      <c r="K65" s="2"/>
      <c r="L65" s="7">
        <f t="shared" si="39"/>
        <v>0</v>
      </c>
      <c r="M65" s="2"/>
      <c r="N65" s="6">
        <f t="shared" si="40"/>
        <v>0</v>
      </c>
      <c r="O65" s="11"/>
      <c r="P65" s="7">
        <v>59593.149999999994</v>
      </c>
      <c r="Q65" s="2"/>
      <c r="R65" s="6">
        <f t="shared" si="41"/>
        <v>1.3203107517995731</v>
      </c>
      <c r="S65" s="2"/>
      <c r="T65" s="7">
        <v>60080</v>
      </c>
      <c r="U65" s="2"/>
      <c r="V65" s="6">
        <f t="shared" si="42"/>
        <v>0.36779920416284051</v>
      </c>
      <c r="W65" s="2"/>
      <c r="X65" s="7">
        <f t="shared" si="43"/>
        <v>-486.85000000000582</v>
      </c>
      <c r="Y65" s="2"/>
      <c r="Z65" s="6">
        <f t="shared" si="44"/>
        <v>-8.1033621837550904E-3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315</v>
      </c>
      <c r="E66" s="1"/>
      <c r="F66" s="5">
        <f t="shared" si="37"/>
        <v>0</v>
      </c>
      <c r="G66" s="1"/>
      <c r="H66" s="1">
        <f>SUM(OSRRefH22_11x_0)</f>
        <v>1071</v>
      </c>
      <c r="I66" s="1"/>
      <c r="J66" s="5">
        <f t="shared" si="38"/>
        <v>2.115095979145272E-2</v>
      </c>
      <c r="K66" s="1"/>
      <c r="L66" s="1">
        <f t="shared" si="39"/>
        <v>-756</v>
      </c>
      <c r="M66" s="1"/>
      <c r="N66" s="5">
        <f t="shared" si="40"/>
        <v>-0.70588235294117652</v>
      </c>
      <c r="O66" s="14"/>
      <c r="P66" s="1">
        <f>SUM(OSRRefP22_11x_0)</f>
        <v>15757.7</v>
      </c>
      <c r="Q66" s="1"/>
      <c r="R66" s="5">
        <f t="shared" si="41"/>
        <v>0.34911832540538867</v>
      </c>
      <c r="S66" s="1"/>
      <c r="T66" s="1">
        <f>SUM(OSRRefT22_11x_0)</f>
        <v>20963</v>
      </c>
      <c r="U66" s="1"/>
      <c r="V66" s="5">
        <f t="shared" si="42"/>
        <v>0.12833180287725743</v>
      </c>
      <c r="W66" s="1"/>
      <c r="X66" s="1">
        <f t="shared" si="43"/>
        <v>-5205.2999999999993</v>
      </c>
      <c r="Y66" s="1"/>
      <c r="Z66" s="5">
        <f t="shared" si="44"/>
        <v>-0.24830892524924864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37"/>
        <v>0</v>
      </c>
      <c r="G67" s="2"/>
      <c r="H67" s="7"/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>
        <v>6596.34</v>
      </c>
      <c r="Q67" s="2"/>
      <c r="R67" s="6">
        <f t="shared" si="41"/>
        <v>0.1461446260942004</v>
      </c>
      <c r="S67" s="2"/>
      <c r="T67" s="7">
        <v>3769</v>
      </c>
      <c r="U67" s="2"/>
      <c r="V67" s="6">
        <f t="shared" si="42"/>
        <v>2.3073155800428527E-2</v>
      </c>
      <c r="W67" s="2"/>
      <c r="X67" s="7">
        <f t="shared" si="43"/>
        <v>2827.34</v>
      </c>
      <c r="Y67" s="2"/>
      <c r="Z67" s="6">
        <f t="shared" si="44"/>
        <v>0.75015654019633859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315</v>
      </c>
      <c r="E68" s="2"/>
      <c r="F68" s="6">
        <f t="shared" si="37"/>
        <v>0</v>
      </c>
      <c r="G68" s="2"/>
      <c r="H68" s="7">
        <v>1071</v>
      </c>
      <c r="I68" s="2"/>
      <c r="J68" s="6">
        <f t="shared" si="38"/>
        <v>2.115095979145272E-2</v>
      </c>
      <c r="K68" s="2"/>
      <c r="L68" s="7">
        <f t="shared" si="39"/>
        <v>-756</v>
      </c>
      <c r="M68" s="2"/>
      <c r="N68" s="6">
        <f t="shared" si="40"/>
        <v>-0.70588235294117652</v>
      </c>
      <c r="O68" s="11"/>
      <c r="P68" s="7">
        <v>9161.36</v>
      </c>
      <c r="Q68" s="2"/>
      <c r="R68" s="6">
        <f t="shared" si="41"/>
        <v>0.20297369931118828</v>
      </c>
      <c r="S68" s="2"/>
      <c r="T68" s="7">
        <v>17194</v>
      </c>
      <c r="U68" s="2"/>
      <c r="V68" s="6">
        <f t="shared" si="42"/>
        <v>0.1052586470768289</v>
      </c>
      <c r="W68" s="2"/>
      <c r="X68" s="7">
        <f t="shared" si="43"/>
        <v>-8032.6399999999994</v>
      </c>
      <c r="Y68" s="2"/>
      <c r="Z68" s="6">
        <f t="shared" si="44"/>
        <v>-0.46717692218215651</v>
      </c>
    </row>
    <row r="69" spans="1:26" s="28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1111.95</v>
      </c>
      <c r="E69" s="1"/>
      <c r="F69" s="5">
        <f t="shared" ref="F69:F74" si="45">IF(D$12=0,0,D69/D$12)</f>
        <v>0</v>
      </c>
      <c r="G69" s="1"/>
      <c r="H69" s="1">
        <f>SUM(OSRRefH22_12x_0)</f>
        <v>4079</v>
      </c>
      <c r="I69" s="1"/>
      <c r="J69" s="5">
        <f t="shared" ref="J69:J74" si="46">IF(H$12=0,0,H69/H$12)</f>
        <v>8.0555336124496404E-2</v>
      </c>
      <c r="K69" s="1"/>
      <c r="L69" s="1">
        <f t="shared" ref="L69:L74" si="47">+D69-H69</f>
        <v>-2967.05</v>
      </c>
      <c r="M69" s="1"/>
      <c r="N69" s="5">
        <f t="shared" ref="N69:N74" si="48">IF(H69=0,0,L69/H69)</f>
        <v>-0.72739642069134591</v>
      </c>
      <c r="O69" s="14"/>
      <c r="P69" s="1">
        <f>SUM(OSRRefP22_12x_0)</f>
        <v>23896.13</v>
      </c>
      <c r="Q69" s="1"/>
      <c r="R69" s="5">
        <f t="shared" ref="R69:R74" si="49">IF(P$12=0,0,P69/P$12)</f>
        <v>0.52942858978591234</v>
      </c>
      <c r="S69" s="1"/>
      <c r="T69" s="1">
        <f>SUM(OSRRefT22_12x_0)</f>
        <v>34872</v>
      </c>
      <c r="U69" s="1"/>
      <c r="V69" s="5">
        <f t="shared" ref="V69:V74" si="50">IF(T$12=0,0,T69/T$12)</f>
        <v>0.21348025711662075</v>
      </c>
      <c r="W69" s="1"/>
      <c r="X69" s="1">
        <f t="shared" ref="X69:X74" si="51">+P69-T69</f>
        <v>-10975.869999999999</v>
      </c>
      <c r="Y69" s="1"/>
      <c r="Z69" s="5">
        <f t="shared" ref="Z69:Z74" si="52">IF(T69=0,0,X69/T69)</f>
        <v>-0.31474736178022478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>
        <v>2780.19</v>
      </c>
      <c r="Q70" s="2"/>
      <c r="R70" s="6">
        <f t="shared" si="49"/>
        <v>6.1596253076832759E-2</v>
      </c>
      <c r="S70" s="2"/>
      <c r="T70" s="7">
        <v>2631</v>
      </c>
      <c r="U70" s="2"/>
      <c r="V70" s="6">
        <f t="shared" si="50"/>
        <v>1.610651974288338E-2</v>
      </c>
      <c r="W70" s="2"/>
      <c r="X70" s="7">
        <f t="shared" si="51"/>
        <v>149.19000000000005</v>
      </c>
      <c r="Y70" s="2"/>
      <c r="Z70" s="6">
        <f t="shared" si="52"/>
        <v>5.6704675028506291E-2</v>
      </c>
    </row>
    <row r="71" spans="1:26" s="24" customFormat="1" hidden="1" outlineLevel="2" x14ac:dyDescent="0.25">
      <c r="A71" s="27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5"/>
        <v>0</v>
      </c>
      <c r="G71" s="2"/>
      <c r="H71" s="7">
        <v>62</v>
      </c>
      <c r="I71" s="2"/>
      <c r="J71" s="6">
        <f t="shared" si="46"/>
        <v>1.2244253100560866E-3</v>
      </c>
      <c r="K71" s="2"/>
      <c r="L71" s="7">
        <f t="shared" si="47"/>
        <v>-62</v>
      </c>
      <c r="M71" s="2"/>
      <c r="N71" s="6">
        <f t="shared" si="48"/>
        <v>-1</v>
      </c>
      <c r="O71" s="11"/>
      <c r="P71" s="7"/>
      <c r="Q71" s="2"/>
      <c r="R71" s="6">
        <f t="shared" si="49"/>
        <v>0</v>
      </c>
      <c r="S71" s="2"/>
      <c r="T71" s="7">
        <v>310</v>
      </c>
      <c r="U71" s="2"/>
      <c r="V71" s="6">
        <f t="shared" si="50"/>
        <v>1.8977655341291704E-3</v>
      </c>
      <c r="W71" s="2"/>
      <c r="X71" s="7">
        <f t="shared" si="51"/>
        <v>-310</v>
      </c>
      <c r="Y71" s="2"/>
      <c r="Z71" s="6">
        <f t="shared" si="52"/>
        <v>-1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7">
        <v>1000</v>
      </c>
      <c r="E72" s="2"/>
      <c r="F72" s="6">
        <f t="shared" si="45"/>
        <v>0</v>
      </c>
      <c r="G72" s="2"/>
      <c r="H72" s="7">
        <v>761</v>
      </c>
      <c r="I72" s="2"/>
      <c r="J72" s="6">
        <f t="shared" si="46"/>
        <v>1.5028833241172289E-2</v>
      </c>
      <c r="K72" s="2"/>
      <c r="L72" s="7">
        <f t="shared" si="47"/>
        <v>239</v>
      </c>
      <c r="M72" s="2"/>
      <c r="N72" s="6">
        <f t="shared" si="48"/>
        <v>0.31406044678055189</v>
      </c>
      <c r="O72" s="11"/>
      <c r="P72" s="7">
        <v>7761</v>
      </c>
      <c r="Q72" s="2"/>
      <c r="R72" s="6">
        <f t="shared" si="49"/>
        <v>0.17194814747528012</v>
      </c>
      <c r="S72" s="2"/>
      <c r="T72" s="7">
        <v>6080</v>
      </c>
      <c r="U72" s="2"/>
      <c r="V72" s="6">
        <f t="shared" si="50"/>
        <v>3.7220691766146313E-2</v>
      </c>
      <c r="W72" s="2"/>
      <c r="X72" s="7">
        <f t="shared" si="51"/>
        <v>1681</v>
      </c>
      <c r="Y72" s="2"/>
      <c r="Z72" s="6">
        <f t="shared" si="52"/>
        <v>0.27648026315789476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/>
      <c r="E73" s="2"/>
      <c r="F73" s="6">
        <f t="shared" si="45"/>
        <v>0</v>
      </c>
      <c r="G73" s="2"/>
      <c r="H73" s="7">
        <v>3256</v>
      </c>
      <c r="I73" s="2"/>
      <c r="J73" s="6">
        <f t="shared" si="46"/>
        <v>6.4302077573268029E-2</v>
      </c>
      <c r="K73" s="2"/>
      <c r="L73" s="7">
        <f t="shared" si="47"/>
        <v>-3256</v>
      </c>
      <c r="M73" s="2"/>
      <c r="N73" s="6">
        <f t="shared" si="48"/>
        <v>-1</v>
      </c>
      <c r="O73" s="11"/>
      <c r="P73" s="7">
        <v>12770.81</v>
      </c>
      <c r="Q73" s="2"/>
      <c r="R73" s="6">
        <f t="shared" si="49"/>
        <v>0.28294254880283237</v>
      </c>
      <c r="S73" s="2"/>
      <c r="T73" s="7">
        <v>25851</v>
      </c>
      <c r="U73" s="2"/>
      <c r="V73" s="6">
        <f t="shared" si="50"/>
        <v>0.1582552800734619</v>
      </c>
      <c r="W73" s="2"/>
      <c r="X73" s="7">
        <f t="shared" si="51"/>
        <v>-13080.19</v>
      </c>
      <c r="Y73" s="2"/>
      <c r="Z73" s="6">
        <f t="shared" si="52"/>
        <v>-0.50598390777919622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7">
        <v>111.95</v>
      </c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111.95</v>
      </c>
      <c r="M74" s="2"/>
      <c r="N74" s="6">
        <f t="shared" si="48"/>
        <v>0</v>
      </c>
      <c r="O74" s="11"/>
      <c r="P74" s="7">
        <v>584.13</v>
      </c>
      <c r="Q74" s="2"/>
      <c r="R74" s="6">
        <f t="shared" si="49"/>
        <v>1.2941640430967061E-2</v>
      </c>
      <c r="S74" s="2"/>
      <c r="T74" s="7"/>
      <c r="U74" s="2"/>
      <c r="V74" s="6">
        <f t="shared" si="50"/>
        <v>0</v>
      </c>
      <c r="W74" s="2"/>
      <c r="X74" s="7">
        <f t="shared" si="51"/>
        <v>584.13</v>
      </c>
      <c r="Y74" s="2"/>
      <c r="Z74" s="6">
        <f t="shared" si="52"/>
        <v>0</v>
      </c>
    </row>
    <row r="75" spans="1:26" s="28" customFormat="1" outlineLevel="1" collapsed="1" x14ac:dyDescent="0.25">
      <c r="A75" s="29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SUM(OSRRefD22_13x_0)</f>
        <v>262.83999999999997</v>
      </c>
      <c r="E75" s="1"/>
      <c r="F75" s="5">
        <f t="shared" ref="F75:F85" si="53">IF(D$12=0,0,D75/D$12)</f>
        <v>0</v>
      </c>
      <c r="G75" s="1"/>
      <c r="H75" s="1">
        <f>SUM(OSRRefH22_13x_0)</f>
        <v>202</v>
      </c>
      <c r="I75" s="1"/>
      <c r="J75" s="5">
        <f t="shared" ref="J75:J85" si="54">IF(H$12=0,0,H75/H$12)</f>
        <v>3.9892566553440239E-3</v>
      </c>
      <c r="K75" s="1"/>
      <c r="L75" s="1">
        <f t="shared" ref="L75:L85" si="55">+D75-H75</f>
        <v>60.839999999999975</v>
      </c>
      <c r="M75" s="1"/>
      <c r="N75" s="5">
        <f t="shared" ref="N75:N85" si="56">IF(H75=0,0,L75/H75)</f>
        <v>0.30118811881188107</v>
      </c>
      <c r="O75" s="14"/>
      <c r="P75" s="1">
        <f>SUM(OSRRefP22_13x_0)</f>
        <v>797.01</v>
      </c>
      <c r="Q75" s="1"/>
      <c r="R75" s="5">
        <f t="shared" ref="R75:R85" si="57">IF(P$12=0,0,P75/P$12)</f>
        <v>1.7658084398823992E-2</v>
      </c>
      <c r="S75" s="1"/>
      <c r="T75" s="1">
        <f>SUM(OSRRefT22_13x_0)</f>
        <v>1581</v>
      </c>
      <c r="U75" s="1"/>
      <c r="V75" s="5">
        <f t="shared" ref="V75:V85" si="58">IF(T$12=0,0,T75/T$12)</f>
        <v>9.6786042240587702E-3</v>
      </c>
      <c r="W75" s="1"/>
      <c r="X75" s="1">
        <f t="shared" ref="X75:X85" si="59">+P75-T75</f>
        <v>-783.99</v>
      </c>
      <c r="Y75" s="1"/>
      <c r="Z75" s="5">
        <f t="shared" ref="Z75:Z85" si="60">IF(T75=0,0,X75/T75)</f>
        <v>-0.4958823529411765</v>
      </c>
    </row>
    <row r="76" spans="1:26" s="24" customFormat="1" hidden="1" outlineLevel="2" x14ac:dyDescent="0.25">
      <c r="A76" s="27"/>
      <c r="B76" s="11" t="str">
        <f>CONCATENATE("          ", "6275", " - ", "SUBSCRIPTIONS")</f>
        <v xml:space="preserve">          6275 - SUBSCRIPTIONS</v>
      </c>
      <c r="C76" s="11"/>
      <c r="D76" s="7">
        <v>262.83999999999997</v>
      </c>
      <c r="E76" s="2"/>
      <c r="F76" s="6">
        <f t="shared" si="53"/>
        <v>0</v>
      </c>
      <c r="G76" s="2"/>
      <c r="H76" s="7">
        <v>202</v>
      </c>
      <c r="I76" s="2"/>
      <c r="J76" s="6">
        <f t="shared" si="54"/>
        <v>3.9892566553440239E-3</v>
      </c>
      <c r="K76" s="2"/>
      <c r="L76" s="7">
        <f t="shared" si="55"/>
        <v>60.839999999999975</v>
      </c>
      <c r="M76" s="2"/>
      <c r="N76" s="6">
        <f t="shared" si="56"/>
        <v>0.30118811881188107</v>
      </c>
      <c r="O76" s="11"/>
      <c r="P76" s="7">
        <v>797.01</v>
      </c>
      <c r="Q76" s="2"/>
      <c r="R76" s="6">
        <f t="shared" si="57"/>
        <v>1.7658084398823992E-2</v>
      </c>
      <c r="S76" s="2"/>
      <c r="T76" s="7">
        <v>1581</v>
      </c>
      <c r="U76" s="2"/>
      <c r="V76" s="6">
        <f t="shared" si="58"/>
        <v>9.6786042240587702E-3</v>
      </c>
      <c r="W76" s="2"/>
      <c r="X76" s="7">
        <f t="shared" si="59"/>
        <v>-783.99</v>
      </c>
      <c r="Y76" s="2"/>
      <c r="Z76" s="6">
        <f t="shared" si="60"/>
        <v>-0.4958823529411765</v>
      </c>
    </row>
    <row r="77" spans="1:26" s="28" customFormat="1" outlineLevel="1" collapsed="1" x14ac:dyDescent="0.25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71.180000000000007</v>
      </c>
      <c r="E77" s="1"/>
      <c r="F77" s="5">
        <f t="shared" si="53"/>
        <v>0</v>
      </c>
      <c r="G77" s="1"/>
      <c r="H77" s="1">
        <f>SUM(OSRRefH22_14x_0)</f>
        <v>2060</v>
      </c>
      <c r="I77" s="1"/>
      <c r="J77" s="5">
        <f t="shared" si="54"/>
        <v>4.068251836637965E-2</v>
      </c>
      <c r="K77" s="1"/>
      <c r="L77" s="1">
        <f t="shared" si="55"/>
        <v>-1988.82</v>
      </c>
      <c r="M77" s="1"/>
      <c r="N77" s="5">
        <f t="shared" si="56"/>
        <v>-0.96544660194174758</v>
      </c>
      <c r="O77" s="14"/>
      <c r="P77" s="1">
        <f>SUM(OSRRefP22_14x_0)</f>
        <v>7657.0099999999993</v>
      </c>
      <c r="Q77" s="1"/>
      <c r="R77" s="5">
        <f t="shared" si="57"/>
        <v>0.16964420624915533</v>
      </c>
      <c r="S77" s="1"/>
      <c r="T77" s="1">
        <f>SUM(OSRRefT22_14x_0)</f>
        <v>19575</v>
      </c>
      <c r="U77" s="1"/>
      <c r="V77" s="5">
        <f t="shared" si="58"/>
        <v>0.11983471074380166</v>
      </c>
      <c r="W77" s="1"/>
      <c r="X77" s="1">
        <f t="shared" si="59"/>
        <v>-11917.990000000002</v>
      </c>
      <c r="Y77" s="1"/>
      <c r="Z77" s="5">
        <f t="shared" si="60"/>
        <v>-0.60883729246487872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3"/>
        <v>0</v>
      </c>
      <c r="G78" s="2"/>
      <c r="H78" s="7"/>
      <c r="I78" s="2"/>
      <c r="J78" s="6">
        <f t="shared" si="54"/>
        <v>0</v>
      </c>
      <c r="K78" s="2"/>
      <c r="L78" s="7">
        <f t="shared" si="55"/>
        <v>0</v>
      </c>
      <c r="M78" s="2"/>
      <c r="N78" s="6">
        <f t="shared" si="56"/>
        <v>0</v>
      </c>
      <c r="O78" s="11"/>
      <c r="P78" s="7">
        <v>310.91000000000003</v>
      </c>
      <c r="Q78" s="2"/>
      <c r="R78" s="6">
        <f t="shared" si="57"/>
        <v>6.8883389423449737E-3</v>
      </c>
      <c r="S78" s="2"/>
      <c r="T78" s="7">
        <v>1076</v>
      </c>
      <c r="U78" s="2"/>
      <c r="V78" s="6">
        <f t="shared" si="58"/>
        <v>6.5870829507193142E-3</v>
      </c>
      <c r="W78" s="2"/>
      <c r="X78" s="7">
        <f t="shared" si="59"/>
        <v>-765.08999999999992</v>
      </c>
      <c r="Y78" s="2"/>
      <c r="Z78" s="6">
        <f t="shared" si="60"/>
        <v>-0.71105018587360591</v>
      </c>
    </row>
    <row r="79" spans="1:26" s="24" customFormat="1" hidden="1" outlineLevel="2" x14ac:dyDescent="0.25">
      <c r="A79" s="27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53"/>
        <v>0</v>
      </c>
      <c r="G79" s="2"/>
      <c r="H79" s="7"/>
      <c r="I79" s="2"/>
      <c r="J79" s="6">
        <f t="shared" si="54"/>
        <v>0</v>
      </c>
      <c r="K79" s="2"/>
      <c r="L79" s="7">
        <f t="shared" si="55"/>
        <v>0</v>
      </c>
      <c r="M79" s="2"/>
      <c r="N79" s="6">
        <f t="shared" si="56"/>
        <v>0</v>
      </c>
      <c r="O79" s="11"/>
      <c r="P79" s="7">
        <v>6753.97</v>
      </c>
      <c r="Q79" s="2"/>
      <c r="R79" s="6">
        <f t="shared" si="57"/>
        <v>0.14963698358505576</v>
      </c>
      <c r="S79" s="2"/>
      <c r="T79" s="7"/>
      <c r="U79" s="2"/>
      <c r="V79" s="6">
        <f t="shared" si="58"/>
        <v>0</v>
      </c>
      <c r="W79" s="2"/>
      <c r="X79" s="7">
        <f t="shared" si="59"/>
        <v>6753.97</v>
      </c>
      <c r="Y79" s="2"/>
      <c r="Z79" s="6">
        <f t="shared" si="60"/>
        <v>0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7"/>
      <c r="E80" s="2"/>
      <c r="F80" s="6">
        <f t="shared" si="53"/>
        <v>0</v>
      </c>
      <c r="G80" s="2"/>
      <c r="H80" s="7">
        <v>1320</v>
      </c>
      <c r="I80" s="2"/>
      <c r="J80" s="6">
        <f t="shared" si="54"/>
        <v>2.6068409827000552E-2</v>
      </c>
      <c r="K80" s="2"/>
      <c r="L80" s="7">
        <f t="shared" si="55"/>
        <v>-1320</v>
      </c>
      <c r="M80" s="2"/>
      <c r="N80" s="6">
        <f t="shared" si="56"/>
        <v>-1</v>
      </c>
      <c r="O80" s="11"/>
      <c r="P80" s="7">
        <v>286.91000000000003</v>
      </c>
      <c r="Q80" s="2"/>
      <c r="R80" s="6">
        <f t="shared" si="57"/>
        <v>6.3566090699822986E-3</v>
      </c>
      <c r="S80" s="2"/>
      <c r="T80" s="7">
        <v>7849</v>
      </c>
      <c r="U80" s="2"/>
      <c r="V80" s="6">
        <f t="shared" si="58"/>
        <v>4.8050198959289865E-2</v>
      </c>
      <c r="W80" s="2"/>
      <c r="X80" s="7">
        <f t="shared" si="59"/>
        <v>-7562.09</v>
      </c>
      <c r="Y80" s="2"/>
      <c r="Z80" s="6">
        <f t="shared" si="60"/>
        <v>-0.96344629889157851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3"/>
        <v>0</v>
      </c>
      <c r="G81" s="2"/>
      <c r="H81" s="7">
        <v>111</v>
      </c>
      <c r="I81" s="2"/>
      <c r="J81" s="6">
        <f t="shared" si="54"/>
        <v>2.1921162809068646E-3</v>
      </c>
      <c r="K81" s="2"/>
      <c r="L81" s="7">
        <f t="shared" si="55"/>
        <v>-111</v>
      </c>
      <c r="M81" s="2"/>
      <c r="N81" s="6">
        <f t="shared" si="56"/>
        <v>-1</v>
      </c>
      <c r="O81" s="11"/>
      <c r="P81" s="7">
        <v>19.829999999999998</v>
      </c>
      <c r="Q81" s="2"/>
      <c r="R81" s="6">
        <f t="shared" si="57"/>
        <v>4.3934180703966041E-4</v>
      </c>
      <c r="S81" s="2"/>
      <c r="T81" s="7">
        <v>343</v>
      </c>
      <c r="U81" s="2"/>
      <c r="V81" s="6">
        <f t="shared" si="58"/>
        <v>2.0997857361493726E-3</v>
      </c>
      <c r="W81" s="2"/>
      <c r="X81" s="7">
        <f t="shared" si="59"/>
        <v>-323.17</v>
      </c>
      <c r="Y81" s="2"/>
      <c r="Z81" s="6">
        <f t="shared" si="60"/>
        <v>-0.94218658892128282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7">
        <v>71.180000000000007</v>
      </c>
      <c r="E82" s="2"/>
      <c r="F82" s="6">
        <f t="shared" si="53"/>
        <v>0</v>
      </c>
      <c r="G82" s="2"/>
      <c r="H82" s="7"/>
      <c r="I82" s="2"/>
      <c r="J82" s="6">
        <f t="shared" si="54"/>
        <v>0</v>
      </c>
      <c r="K82" s="2"/>
      <c r="L82" s="7">
        <f t="shared" si="55"/>
        <v>71.180000000000007</v>
      </c>
      <c r="M82" s="2"/>
      <c r="N82" s="6">
        <f t="shared" si="56"/>
        <v>0</v>
      </c>
      <c r="O82" s="11"/>
      <c r="P82" s="7">
        <v>219.9</v>
      </c>
      <c r="Q82" s="2"/>
      <c r="R82" s="6">
        <f t="shared" si="57"/>
        <v>4.8719749555230125E-3</v>
      </c>
      <c r="S82" s="2"/>
      <c r="T82" s="7">
        <v>5262</v>
      </c>
      <c r="U82" s="2"/>
      <c r="V82" s="6">
        <f t="shared" si="58"/>
        <v>3.2213039485766759E-2</v>
      </c>
      <c r="W82" s="2"/>
      <c r="X82" s="7">
        <f t="shared" si="59"/>
        <v>-5042.1000000000004</v>
      </c>
      <c r="Y82" s="2"/>
      <c r="Z82" s="6">
        <f t="shared" si="60"/>
        <v>-0.95820980615735474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53"/>
        <v>0</v>
      </c>
      <c r="G83" s="2"/>
      <c r="H83" s="7">
        <v>629</v>
      </c>
      <c r="I83" s="2"/>
      <c r="J83" s="6">
        <f t="shared" si="54"/>
        <v>1.2421992258472233E-2</v>
      </c>
      <c r="K83" s="2"/>
      <c r="L83" s="7">
        <f t="shared" si="55"/>
        <v>-629</v>
      </c>
      <c r="M83" s="2"/>
      <c r="N83" s="6">
        <f t="shared" si="56"/>
        <v>-1</v>
      </c>
      <c r="O83" s="11"/>
      <c r="P83" s="7">
        <v>65.489999999999995</v>
      </c>
      <c r="Q83" s="2"/>
      <c r="R83" s="6">
        <f t="shared" si="57"/>
        <v>1.45095788920965E-3</v>
      </c>
      <c r="S83" s="2"/>
      <c r="T83" s="7">
        <v>4619</v>
      </c>
      <c r="U83" s="2"/>
      <c r="V83" s="6">
        <f t="shared" si="58"/>
        <v>2.8276706458524641E-2</v>
      </c>
      <c r="W83" s="2"/>
      <c r="X83" s="7">
        <f t="shared" si="59"/>
        <v>-4553.51</v>
      </c>
      <c r="Y83" s="2"/>
      <c r="Z83" s="6">
        <f t="shared" si="60"/>
        <v>-0.98582160640831351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3"/>
        <v>0</v>
      </c>
      <c r="G84" s="2"/>
      <c r="H84" s="7"/>
      <c r="I84" s="2"/>
      <c r="J84" s="6">
        <f t="shared" si="54"/>
        <v>0</v>
      </c>
      <c r="K84" s="2"/>
      <c r="L84" s="7">
        <f t="shared" si="55"/>
        <v>0</v>
      </c>
      <c r="M84" s="2"/>
      <c r="N84" s="6">
        <f t="shared" si="56"/>
        <v>0</v>
      </c>
      <c r="O84" s="11"/>
      <c r="P84" s="7"/>
      <c r="Q84" s="2"/>
      <c r="R84" s="6">
        <f t="shared" si="57"/>
        <v>0</v>
      </c>
      <c r="S84" s="2"/>
      <c r="T84" s="7">
        <v>411</v>
      </c>
      <c r="U84" s="2"/>
      <c r="V84" s="6">
        <f t="shared" si="58"/>
        <v>2.5160697887970616E-3</v>
      </c>
      <c r="W84" s="2"/>
      <c r="X84" s="7">
        <f t="shared" si="59"/>
        <v>-411</v>
      </c>
      <c r="Y84" s="2"/>
      <c r="Z84" s="6">
        <f t="shared" si="60"/>
        <v>-1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3"/>
        <v>0</v>
      </c>
      <c r="G85" s="2"/>
      <c r="H85" s="7"/>
      <c r="I85" s="2"/>
      <c r="J85" s="6">
        <f t="shared" si="54"/>
        <v>0</v>
      </c>
      <c r="K85" s="2"/>
      <c r="L85" s="7">
        <f t="shared" si="55"/>
        <v>0</v>
      </c>
      <c r="M85" s="2"/>
      <c r="N85" s="6">
        <f t="shared" si="56"/>
        <v>0</v>
      </c>
      <c r="O85" s="11"/>
      <c r="P85" s="7"/>
      <c r="Q85" s="2"/>
      <c r="R85" s="6">
        <f t="shared" si="57"/>
        <v>0</v>
      </c>
      <c r="S85" s="2"/>
      <c r="T85" s="7">
        <v>15</v>
      </c>
      <c r="U85" s="2"/>
      <c r="V85" s="6">
        <f t="shared" si="58"/>
        <v>9.1827364554637278E-5</v>
      </c>
      <c r="W85" s="2"/>
      <c r="X85" s="7">
        <f t="shared" si="59"/>
        <v>-15</v>
      </c>
      <c r="Y85" s="2"/>
      <c r="Z85" s="6">
        <f t="shared" si="60"/>
        <v>-1</v>
      </c>
    </row>
    <row r="86" spans="1:26" s="28" customFormat="1" outlineLevel="1" collapsed="1" x14ac:dyDescent="0.25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SUM(OSRRefD22_15x_0)</f>
        <v>-68</v>
      </c>
      <c r="E86" s="1"/>
      <c r="F86" s="5">
        <f t="shared" ref="F86:F88" si="61">IF(D$12=0,0,D86/D$12)</f>
        <v>0</v>
      </c>
      <c r="G86" s="1"/>
      <c r="H86" s="1">
        <f>SUM(OSRRefH22_15x_0)</f>
        <v>135</v>
      </c>
      <c r="I86" s="1"/>
      <c r="J86" s="5">
        <f t="shared" ref="J86:J88" si="62">IF(H$12=0,0,H86/H$12)</f>
        <v>2.6660873686705109E-3</v>
      </c>
      <c r="K86" s="1"/>
      <c r="L86" s="1">
        <f t="shared" ref="L86:L88" si="63">+D86-H86</f>
        <v>-203</v>
      </c>
      <c r="M86" s="1"/>
      <c r="N86" s="5">
        <f t="shared" ref="N86:N88" si="64">IF(H86=0,0,L86/H86)</f>
        <v>-1.5037037037037038</v>
      </c>
      <c r="O86" s="14"/>
      <c r="P86" s="1">
        <f>SUM(OSRRefP22_15x_0)</f>
        <v>1609</v>
      </c>
      <c r="Q86" s="1"/>
      <c r="R86" s="5">
        <f t="shared" ref="R86:R88" si="65">IF(P$12=0,0,P86/P$12)</f>
        <v>3.5648056859647684E-2</v>
      </c>
      <c r="S86" s="1"/>
      <c r="T86" s="1">
        <f>SUM(OSRRefT22_15x_0)</f>
        <v>1572</v>
      </c>
      <c r="U86" s="1"/>
      <c r="V86" s="5">
        <f t="shared" ref="V86:V88" si="66">IF(T$12=0,0,T86/T$12)</f>
        <v>9.6235078053259863E-3</v>
      </c>
      <c r="W86" s="1"/>
      <c r="X86" s="1">
        <f t="shared" ref="X86:X88" si="67">+P86-T86</f>
        <v>37</v>
      </c>
      <c r="Y86" s="1"/>
      <c r="Z86" s="5">
        <f t="shared" ref="Z86:Z88" si="68">IF(T86=0,0,X86/T86)</f>
        <v>2.3536895674300253E-2</v>
      </c>
    </row>
    <row r="87" spans="1:26" s="24" customFormat="1" hidden="1" outlineLevel="2" x14ac:dyDescent="0.25">
      <c r="A87" s="27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61"/>
        <v>0</v>
      </c>
      <c r="G87" s="2"/>
      <c r="H87" s="7">
        <v>135</v>
      </c>
      <c r="I87" s="2"/>
      <c r="J87" s="6">
        <f t="shared" si="62"/>
        <v>2.6660873686705109E-3</v>
      </c>
      <c r="K87" s="2"/>
      <c r="L87" s="7">
        <f t="shared" si="63"/>
        <v>-135</v>
      </c>
      <c r="M87" s="2"/>
      <c r="N87" s="6">
        <f t="shared" si="64"/>
        <v>-1</v>
      </c>
      <c r="O87" s="11"/>
      <c r="P87" s="7"/>
      <c r="Q87" s="2"/>
      <c r="R87" s="6">
        <f t="shared" si="65"/>
        <v>0</v>
      </c>
      <c r="S87" s="2"/>
      <c r="T87" s="7">
        <v>1122</v>
      </c>
      <c r="U87" s="2"/>
      <c r="V87" s="6">
        <f t="shared" si="66"/>
        <v>6.8686868686868687E-3</v>
      </c>
      <c r="W87" s="2"/>
      <c r="X87" s="7">
        <f t="shared" si="67"/>
        <v>-1122</v>
      </c>
      <c r="Y87" s="2"/>
      <c r="Z87" s="6">
        <f t="shared" si="68"/>
        <v>-1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7">
        <v>-68</v>
      </c>
      <c r="E88" s="2"/>
      <c r="F88" s="6">
        <f t="shared" si="61"/>
        <v>0</v>
      </c>
      <c r="G88" s="2"/>
      <c r="H88" s="7"/>
      <c r="I88" s="2"/>
      <c r="J88" s="6">
        <f t="shared" si="62"/>
        <v>0</v>
      </c>
      <c r="K88" s="2"/>
      <c r="L88" s="7">
        <f t="shared" si="63"/>
        <v>-68</v>
      </c>
      <c r="M88" s="2"/>
      <c r="N88" s="6">
        <f t="shared" si="64"/>
        <v>0</v>
      </c>
      <c r="O88" s="11"/>
      <c r="P88" s="7">
        <v>1609</v>
      </c>
      <c r="Q88" s="2"/>
      <c r="R88" s="6">
        <f t="shared" si="65"/>
        <v>3.5648056859647684E-2</v>
      </c>
      <c r="S88" s="2"/>
      <c r="T88" s="7">
        <v>450</v>
      </c>
      <c r="U88" s="2"/>
      <c r="V88" s="6">
        <f t="shared" si="66"/>
        <v>2.7548209366391185E-3</v>
      </c>
      <c r="W88" s="2"/>
      <c r="X88" s="7">
        <f t="shared" si="67"/>
        <v>1159</v>
      </c>
      <c r="Y88" s="2"/>
      <c r="Z88" s="6">
        <f t="shared" si="68"/>
        <v>2.5755555555555554</v>
      </c>
    </row>
    <row r="89" spans="1:26" s="28" customFormat="1" outlineLevel="1" collapsed="1" x14ac:dyDescent="0.25">
      <c r="A89" s="29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SUM(OSRRefD22_16x_0)</f>
        <v>0</v>
      </c>
      <c r="E89" s="1"/>
      <c r="F89" s="5">
        <f t="shared" ref="F89:F93" si="69">IF(D$12=0,0,D89/D$12)</f>
        <v>0</v>
      </c>
      <c r="G89" s="1"/>
      <c r="H89" s="1">
        <f>SUM(OSRRefH22_16x_0)</f>
        <v>0</v>
      </c>
      <c r="I89" s="1"/>
      <c r="J89" s="5">
        <f t="shared" ref="J89:J93" si="70">IF(H$12=0,0,H89/H$12)</f>
        <v>0</v>
      </c>
      <c r="K89" s="1"/>
      <c r="L89" s="1">
        <f t="shared" ref="L89:L93" si="71">+D89-H89</f>
        <v>0</v>
      </c>
      <c r="M89" s="1"/>
      <c r="N89" s="5">
        <f t="shared" ref="N89:N93" si="72">IF(H89=0,0,L89/H89)</f>
        <v>0</v>
      </c>
      <c r="O89" s="14"/>
      <c r="P89" s="1">
        <f>SUM(OSRRefP22_16x_0)</f>
        <v>400</v>
      </c>
      <c r="Q89" s="1"/>
      <c r="R89" s="5">
        <f t="shared" ref="R89:R93" si="73">IF(P$12=0,0,P89/P$12)</f>
        <v>8.8621645393779213E-3</v>
      </c>
      <c r="S89" s="1"/>
      <c r="T89" s="1">
        <f>SUM(OSRRefT22_16x_0)</f>
        <v>0</v>
      </c>
      <c r="U89" s="1"/>
      <c r="V89" s="5">
        <f t="shared" ref="V89:V93" si="74">IF(T$12=0,0,T89/T$12)</f>
        <v>0</v>
      </c>
      <c r="W89" s="1"/>
      <c r="X89" s="1">
        <f t="shared" ref="X89:X93" si="75">+P89-T89</f>
        <v>400</v>
      </c>
      <c r="Y89" s="1"/>
      <c r="Z89" s="5">
        <f t="shared" ref="Z89:Z93" si="76">IF(T89=0,0,X89/T89)</f>
        <v>0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9"/>
        <v>0</v>
      </c>
      <c r="G90" s="2"/>
      <c r="H90" s="7"/>
      <c r="I90" s="2"/>
      <c r="J90" s="6">
        <f t="shared" si="70"/>
        <v>0</v>
      </c>
      <c r="K90" s="2"/>
      <c r="L90" s="7">
        <f t="shared" si="71"/>
        <v>0</v>
      </c>
      <c r="M90" s="2"/>
      <c r="N90" s="6">
        <f t="shared" si="72"/>
        <v>0</v>
      </c>
      <c r="O90" s="11"/>
      <c r="P90" s="7">
        <v>400</v>
      </c>
      <c r="Q90" s="2"/>
      <c r="R90" s="6">
        <f t="shared" si="73"/>
        <v>8.8621645393779213E-3</v>
      </c>
      <c r="S90" s="2"/>
      <c r="T90" s="7"/>
      <c r="U90" s="2"/>
      <c r="V90" s="6">
        <f t="shared" si="74"/>
        <v>0</v>
      </c>
      <c r="W90" s="2"/>
      <c r="X90" s="7">
        <f t="shared" si="75"/>
        <v>400</v>
      </c>
      <c r="Y90" s="2"/>
      <c r="Z90" s="6">
        <f t="shared" si="76"/>
        <v>0</v>
      </c>
    </row>
    <row r="91" spans="1:26" s="28" customFormat="1" outlineLevel="1" collapsed="1" x14ac:dyDescent="0.25">
      <c r="A91" s="29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SUM(OSRRefD22_17x_0)</f>
        <v>0</v>
      </c>
      <c r="E91" s="1"/>
      <c r="F91" s="5">
        <f t="shared" si="69"/>
        <v>0</v>
      </c>
      <c r="G91" s="1"/>
      <c r="H91" s="1">
        <f>SUM(OSRRefH22_17x_0)</f>
        <v>0</v>
      </c>
      <c r="I91" s="1"/>
      <c r="J91" s="5">
        <f t="shared" si="70"/>
        <v>0</v>
      </c>
      <c r="K91" s="1"/>
      <c r="L91" s="1">
        <f t="shared" si="71"/>
        <v>0</v>
      </c>
      <c r="M91" s="1"/>
      <c r="N91" s="5">
        <f t="shared" si="72"/>
        <v>0</v>
      </c>
      <c r="O91" s="14"/>
      <c r="P91" s="1">
        <f>SUM(OSRRefP22_17x_0)</f>
        <v>0</v>
      </c>
      <c r="Q91" s="1"/>
      <c r="R91" s="5">
        <f t="shared" si="73"/>
        <v>0</v>
      </c>
      <c r="S91" s="1"/>
      <c r="T91" s="1">
        <f>SUM(OSRRefT22_17x_0)</f>
        <v>0</v>
      </c>
      <c r="U91" s="1"/>
      <c r="V91" s="5">
        <f t="shared" si="74"/>
        <v>0</v>
      </c>
      <c r="W91" s="1"/>
      <c r="X91" s="1">
        <f t="shared" si="75"/>
        <v>0</v>
      </c>
      <c r="Y91" s="1"/>
      <c r="Z91" s="5">
        <f t="shared" si="76"/>
        <v>0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9"/>
        <v>0</v>
      </c>
      <c r="G92" s="2"/>
      <c r="H92" s="7"/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/>
      <c r="Q92" s="2"/>
      <c r="R92" s="6">
        <f t="shared" si="73"/>
        <v>0</v>
      </c>
      <c r="S92" s="2"/>
      <c r="T92" s="7">
        <v>0</v>
      </c>
      <c r="U92" s="2"/>
      <c r="V92" s="6">
        <f t="shared" si="74"/>
        <v>0</v>
      </c>
      <c r="W92" s="2"/>
      <c r="X92" s="7">
        <f t="shared" si="75"/>
        <v>0</v>
      </c>
      <c r="Y92" s="2"/>
      <c r="Z92" s="6">
        <f t="shared" si="76"/>
        <v>0</v>
      </c>
    </row>
    <row r="93" spans="1:26" s="24" customFormat="1" hidden="1" outlineLevel="2" x14ac:dyDescent="0.25">
      <c r="A93" s="27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69"/>
        <v>0</v>
      </c>
      <c r="G93" s="2"/>
      <c r="H93" s="7"/>
      <c r="I93" s="2"/>
      <c r="J93" s="6">
        <f t="shared" si="70"/>
        <v>0</v>
      </c>
      <c r="K93" s="2"/>
      <c r="L93" s="7">
        <f t="shared" si="71"/>
        <v>0</v>
      </c>
      <c r="M93" s="2"/>
      <c r="N93" s="6">
        <f t="shared" si="72"/>
        <v>0</v>
      </c>
      <c r="O93" s="11"/>
      <c r="P93" s="7"/>
      <c r="Q93" s="2"/>
      <c r="R93" s="6">
        <f t="shared" si="73"/>
        <v>0</v>
      </c>
      <c r="S93" s="2"/>
      <c r="T93" s="7">
        <v>0</v>
      </c>
      <c r="U93" s="2"/>
      <c r="V93" s="6">
        <f t="shared" si="74"/>
        <v>0</v>
      </c>
      <c r="W93" s="2"/>
      <c r="X93" s="7">
        <f t="shared" si="75"/>
        <v>0</v>
      </c>
      <c r="Y93" s="2"/>
      <c r="Z93" s="6">
        <f t="shared" si="76"/>
        <v>0</v>
      </c>
    </row>
    <row r="94" spans="1:26" s="28" customFormat="1" outlineLevel="1" collapsed="1" x14ac:dyDescent="0.25">
      <c r="A94" s="29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SUM(OSRRefD22_18x_0)</f>
        <v>2312</v>
      </c>
      <c r="E94" s="1"/>
      <c r="F94" s="5">
        <f t="shared" ref="F94:F95" si="77">IF(D$12=0,0,D94/D$12)</f>
        <v>0</v>
      </c>
      <c r="G94" s="1"/>
      <c r="H94" s="1">
        <f>SUM(OSRRefH22_18x_0)</f>
        <v>2300</v>
      </c>
      <c r="I94" s="1"/>
      <c r="J94" s="5">
        <f t="shared" ref="J94:J95" si="78">IF(H$12=0,0,H94/H$12)</f>
        <v>4.5422229244016114E-2</v>
      </c>
      <c r="K94" s="1"/>
      <c r="L94" s="1">
        <f t="shared" ref="L94:L95" si="79">+D94-H94</f>
        <v>12</v>
      </c>
      <c r="M94" s="1"/>
      <c r="N94" s="5">
        <f t="shared" ref="N94:N95" si="80">IF(H94=0,0,L94/H94)</f>
        <v>5.2173913043478265E-3</v>
      </c>
      <c r="O94" s="14"/>
      <c r="P94" s="1">
        <f>SUM(OSRRefP22_18x_0)</f>
        <v>18448</v>
      </c>
      <c r="Q94" s="1"/>
      <c r="R94" s="5">
        <f t="shared" ref="R94:R95" si="81">IF(P$12=0,0,P94/P$12)</f>
        <v>0.4087230285561097</v>
      </c>
      <c r="S94" s="1"/>
      <c r="T94" s="1">
        <f>SUM(OSRRefT22_18x_0)</f>
        <v>18400</v>
      </c>
      <c r="U94" s="1"/>
      <c r="V94" s="5">
        <f t="shared" ref="V94:V95" si="82">IF(T$12=0,0,T94/T$12)</f>
        <v>0.11264156718702173</v>
      </c>
      <c r="W94" s="1"/>
      <c r="X94" s="1">
        <f t="shared" ref="X94:X95" si="83">+P94-T94</f>
        <v>48</v>
      </c>
      <c r="Y94" s="1"/>
      <c r="Z94" s="5">
        <f t="shared" ref="Z94:Z95" si="84">IF(T94=0,0,X94/T94)</f>
        <v>2.6086956521739132E-3</v>
      </c>
    </row>
    <row r="95" spans="1:26" s="24" customFormat="1" hidden="1" outlineLevel="2" x14ac:dyDescent="0.25">
      <c r="A95" s="27"/>
      <c r="B95" s="11" t="str">
        <f>CONCATENATE("          ", "6274", " - ", "UTILITIES")</f>
        <v xml:space="preserve">          6274 - UTILITIES</v>
      </c>
      <c r="C95" s="11"/>
      <c r="D95" s="7">
        <v>2312</v>
      </c>
      <c r="E95" s="2"/>
      <c r="F95" s="6">
        <f t="shared" si="77"/>
        <v>0</v>
      </c>
      <c r="G95" s="2"/>
      <c r="H95" s="7">
        <v>2300</v>
      </c>
      <c r="I95" s="2"/>
      <c r="J95" s="6">
        <f t="shared" si="78"/>
        <v>4.5422229244016114E-2</v>
      </c>
      <c r="K95" s="2"/>
      <c r="L95" s="7">
        <f t="shared" si="79"/>
        <v>12</v>
      </c>
      <c r="M95" s="2"/>
      <c r="N95" s="6">
        <f t="shared" si="80"/>
        <v>5.2173913043478265E-3</v>
      </c>
      <c r="O95" s="11"/>
      <c r="P95" s="7">
        <v>18448</v>
      </c>
      <c r="Q95" s="2"/>
      <c r="R95" s="6">
        <f t="shared" si="81"/>
        <v>0.4087230285561097</v>
      </c>
      <c r="S95" s="2"/>
      <c r="T95" s="7">
        <v>18400</v>
      </c>
      <c r="U95" s="2"/>
      <c r="V95" s="6">
        <f t="shared" si="82"/>
        <v>0.11264156718702173</v>
      </c>
      <c r="W95" s="2"/>
      <c r="X95" s="7">
        <f t="shared" si="83"/>
        <v>48</v>
      </c>
      <c r="Y95" s="2"/>
      <c r="Z95" s="6">
        <f t="shared" si="84"/>
        <v>2.6086956521739132E-3</v>
      </c>
    </row>
    <row r="96" spans="1:26" s="58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6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5" t="s">
        <v>3</v>
      </c>
      <c r="C99" s="25"/>
      <c r="D99" s="19">
        <f>+D23-D25+D97</f>
        <v>-54150.95</v>
      </c>
      <c r="E99" s="13"/>
      <c r="F99" s="21">
        <f>IF(D$12=0,0,D99/D$12)</f>
        <v>0</v>
      </c>
      <c r="G99" s="13"/>
      <c r="H99" s="19">
        <f>+H23-H25+H97</f>
        <v>-24628.430465092308</v>
      </c>
      <c r="I99" s="13"/>
      <c r="J99" s="21">
        <f>IF(H$12=0,0,H99/H$12)</f>
        <v>-0.48638183239379706</v>
      </c>
      <c r="K99" s="15"/>
      <c r="L99" s="19">
        <f>+D99-H99</f>
        <v>-29522.519534907689</v>
      </c>
      <c r="M99" s="15"/>
      <c r="N99" s="21">
        <f>IF(H99=0,0,L99/H99)</f>
        <v>1.198717050879557</v>
      </c>
      <c r="O99" s="26"/>
      <c r="P99" s="19">
        <f>+P23-P25+P97</f>
        <v>-470557.41999999993</v>
      </c>
      <c r="Q99" s="13"/>
      <c r="R99" s="21">
        <f>IF(P$12=0,0,P99/P$12)</f>
        <v>-10.425393203162905</v>
      </c>
      <c r="S99" s="13"/>
      <c r="T99" s="19">
        <f>+T23-T25+T97</f>
        <v>-339991.17953794228</v>
      </c>
      <c r="U99" s="13"/>
      <c r="V99" s="21">
        <f>IF(T$12=0,0,T99/T$12)</f>
        <v>-2.081366265919451</v>
      </c>
      <c r="W99" s="15"/>
      <c r="X99" s="19">
        <f>+P99-T99</f>
        <v>-130566.24046205764</v>
      </c>
      <c r="Y99" s="15"/>
      <c r="Z99" s="21">
        <f>IF(T99=0,0,X99/T99)</f>
        <v>0.38402831696840162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>
        <v>745.16</v>
      </c>
      <c r="E101" s="4"/>
      <c r="F101" s="12">
        <f>IF(D$12=0,0,D101/D$12)</f>
        <v>0</v>
      </c>
      <c r="G101" s="4"/>
      <c r="H101" s="4">
        <v>8532</v>
      </c>
      <c r="I101" s="4"/>
      <c r="J101" s="12">
        <f>IF(H$12=0,0,H101/H$12)</f>
        <v>0.16849672169997632</v>
      </c>
      <c r="K101" s="4"/>
      <c r="L101" s="4">
        <f>+D101-H101</f>
        <v>-7786.84</v>
      </c>
      <c r="M101" s="4"/>
      <c r="N101" s="12">
        <f>IF(H101=0,0,L101/H101)</f>
        <v>-0.91266291608063765</v>
      </c>
      <c r="O101" s="10"/>
      <c r="P101" s="4">
        <v>8938.48</v>
      </c>
      <c r="Q101" s="4"/>
      <c r="R101" s="12">
        <f>IF(P$12=0,0,P101/P$12)</f>
        <v>0.1980357012298469</v>
      </c>
      <c r="S101" s="4"/>
      <c r="T101" s="4">
        <v>28093</v>
      </c>
      <c r="U101" s="4"/>
      <c r="V101" s="12">
        <f>IF(T$12=0,0,T101/T$12)</f>
        <v>0.17198041016222834</v>
      </c>
      <c r="W101" s="4"/>
      <c r="X101" s="4">
        <f>+P101-T101</f>
        <v>-19154.52</v>
      </c>
      <c r="Y101" s="4"/>
      <c r="Z101" s="12">
        <f>IF(T101=0,0,X101/T101)</f>
        <v>-0.68182536574947494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4</v>
      </c>
      <c r="C103" s="25"/>
      <c r="D103" s="34">
        <f>+D99-D101</f>
        <v>-54896.11</v>
      </c>
      <c r="E103" s="13"/>
      <c r="F103" s="30">
        <f>IF(D$12=0,0,D103/D$12)</f>
        <v>0</v>
      </c>
      <c r="G103" s="13"/>
      <c r="H103" s="34">
        <f>+H99-H101</f>
        <v>-33160.430465092308</v>
      </c>
      <c r="I103" s="13"/>
      <c r="J103" s="30">
        <f>IF(H$12=0,0,H103/H$12)</f>
        <v>-0.65487855409377338</v>
      </c>
      <c r="K103" s="15"/>
      <c r="L103" s="34">
        <f>D103-H103</f>
        <v>-21735.679534907693</v>
      </c>
      <c r="M103" s="15"/>
      <c r="N103" s="30">
        <f>IF(H103=0,0,L103/H103)</f>
        <v>0.65547036724353291</v>
      </c>
      <c r="O103" s="26"/>
      <c r="P103" s="34">
        <f>+P99-P101</f>
        <v>-479495.89999999991</v>
      </c>
      <c r="Q103" s="13"/>
      <c r="R103" s="30">
        <f>IF(P$12=0,0,P103/P$12)</f>
        <v>-10.623428904392751</v>
      </c>
      <c r="S103" s="13"/>
      <c r="T103" s="34">
        <f>+T99-T101</f>
        <v>-368084.17953794228</v>
      </c>
      <c r="U103" s="13"/>
      <c r="V103" s="30">
        <f>IF(T$12=0,0,T103/T$12)</f>
        <v>-2.2533466760816792</v>
      </c>
      <c r="W103" s="15"/>
      <c r="X103" s="34">
        <f>P103-T103</f>
        <v>-111411.72046205762</v>
      </c>
      <c r="Y103" s="15"/>
      <c r="Z103" s="30">
        <f>IF(T103=0,0,X103/T103)</f>
        <v>0.30268000271544748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5</v>
      </c>
      <c r="C106" s="25"/>
      <c r="D106" s="35">
        <f>SUM(D103:D105)</f>
        <v>-54896.11</v>
      </c>
      <c r="E106" s="13"/>
      <c r="F106" s="31">
        <f>IF(D$12=0,0,D106/D$12)</f>
        <v>0</v>
      </c>
      <c r="G106" s="13"/>
      <c r="H106" s="35">
        <f>SUM(H103:H105)</f>
        <v>-33160.430465092308</v>
      </c>
      <c r="I106" s="13"/>
      <c r="J106" s="31">
        <f>IF(H$12=0,0,H106/H$12)</f>
        <v>-0.65487855409377338</v>
      </c>
      <c r="K106" s="15"/>
      <c r="L106" s="35">
        <f>+D106-H106</f>
        <v>-21735.679534907693</v>
      </c>
      <c r="M106" s="15"/>
      <c r="N106" s="31">
        <f>IF(H106=0,0,L106/H106)</f>
        <v>0.65547036724353291</v>
      </c>
      <c r="O106" s="26"/>
      <c r="P106" s="35">
        <f>SUM(P103:P105)</f>
        <v>-479495.89999999991</v>
      </c>
      <c r="Q106" s="13"/>
      <c r="R106" s="31">
        <f>IF(P$12=0,0,P106/P$12)</f>
        <v>-10.623428904392751</v>
      </c>
      <c r="S106" s="13"/>
      <c r="T106" s="35">
        <f>SUM(T103:T105)</f>
        <v>-368084.17953794228</v>
      </c>
      <c r="U106" s="13"/>
      <c r="V106" s="31">
        <f>IF(T$12=0,0,T106/T$12)</f>
        <v>-2.2533466760816792</v>
      </c>
      <c r="W106" s="15"/>
      <c r="X106" s="35">
        <f>+P106-T106</f>
        <v>-111411.72046205762</v>
      </c>
      <c r="Y106" s="15"/>
      <c r="Z106" s="31">
        <f>IF(T106=0,0,X106/T106)</f>
        <v>0.30268000271544748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3">
        <v>44267.672121064817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62" t="s">
        <v>314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7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0</v>
      </c>
      <c r="I19" s="13"/>
      <c r="J19" s="21">
        <f>IF(H$12=0,0,H19/H$12)</f>
        <v>0</v>
      </c>
      <c r="K19" s="15"/>
      <c r="L19" s="19">
        <f>+D19-H19</f>
        <v>0</v>
      </c>
      <c r="M19" s="15"/>
      <c r="N19" s="21">
        <f>IF(H19=0,0,L19/H19)</f>
        <v>0</v>
      </c>
      <c r="O19" s="26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0</v>
      </c>
      <c r="U19" s="13"/>
      <c r="V19" s="21">
        <f>IF(T$12=0,0,T19/T$12)</f>
        <v>0</v>
      </c>
      <c r="W19" s="15"/>
      <c r="X19" s="19">
        <f>+P19-T19</f>
        <v>0</v>
      </c>
      <c r="Y19" s="15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8430.17</v>
      </c>
      <c r="E21" s="20"/>
      <c r="F21" s="33">
        <f t="shared" ref="F21:F30" si="14">IF(D$12=0,0,D21/D$12)</f>
        <v>0</v>
      </c>
      <c r="G21" s="20"/>
      <c r="H21" s="20">
        <f>SUM(OSRRefH22x_0)</f>
        <v>8545</v>
      </c>
      <c r="I21" s="20"/>
      <c r="J21" s="33">
        <f t="shared" ref="J21:J30" si="15">IF(H$12=0,0,H21/H$12)</f>
        <v>0</v>
      </c>
      <c r="K21" s="4"/>
      <c r="L21" s="20">
        <f t="shared" ref="L21:L30" si="16">+D21-H21</f>
        <v>-114.82999999999993</v>
      </c>
      <c r="M21" s="4"/>
      <c r="N21" s="33">
        <f t="shared" ref="N21:N30" si="17">IF(H21=0,0,L21/H21)</f>
        <v>-1.3438267992978342E-2</v>
      </c>
      <c r="O21" s="10"/>
      <c r="P21" s="20">
        <f>SUM(OSRRefP22x_0)</f>
        <v>67456.990000000005</v>
      </c>
      <c r="Q21" s="20"/>
      <c r="R21" s="33">
        <f t="shared" ref="R21:R30" si="18">IF(P$12=0,0,P21/P$12)</f>
        <v>0</v>
      </c>
      <c r="S21" s="20"/>
      <c r="T21" s="20">
        <f>SUM(OSRRefT22x_0)</f>
        <v>57059</v>
      </c>
      <c r="U21" s="20"/>
      <c r="V21" s="33">
        <f t="shared" ref="V21:V30" si="19">IF(T$12=0,0,T21/T$12)</f>
        <v>0</v>
      </c>
      <c r="W21" s="4"/>
      <c r="X21" s="20">
        <f t="shared" ref="X21:X30" si="20">+P21-T21</f>
        <v>10397.990000000005</v>
      </c>
      <c r="Y21" s="4"/>
      <c r="Z21" s="33">
        <f t="shared" ref="Z21:Z30" si="21">IF(T21=0,0,X21/T21)</f>
        <v>0.1822322508280903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6086.32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6086.32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237.51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237.51</v>
      </c>
      <c r="Y23" s="2"/>
      <c r="Z23" s="6">
        <f t="shared" si="21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4780.67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4780.67</v>
      </c>
      <c r="Y25" s="2"/>
      <c r="Z25" s="6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678.15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678.15</v>
      </c>
      <c r="Y27" s="2"/>
      <c r="Z27" s="6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248.21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248.21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141.78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141.78</v>
      </c>
      <c r="Y30" s="2"/>
      <c r="Z30" s="6">
        <f t="shared" si="21"/>
        <v>0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2151.69</v>
      </c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2151.69</v>
      </c>
      <c r="Y33" s="2"/>
      <c r="Z33" s="6">
        <f t="shared" si="29"/>
        <v>0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8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6745.17</v>
      </c>
      <c r="E46" s="1"/>
      <c r="F46" s="5">
        <f t="shared" si="30"/>
        <v>0</v>
      </c>
      <c r="G46" s="1"/>
      <c r="H46" s="1">
        <f>SUM(OSRRefH22_4x_0)</f>
        <v>6745</v>
      </c>
      <c r="I46" s="1"/>
      <c r="J46" s="5">
        <f t="shared" si="31"/>
        <v>0</v>
      </c>
      <c r="K46" s="1"/>
      <c r="L46" s="1">
        <f t="shared" si="32"/>
        <v>0.17000000000007276</v>
      </c>
      <c r="M46" s="1"/>
      <c r="N46" s="5">
        <f t="shared" si="33"/>
        <v>2.5203854707201298E-5</v>
      </c>
      <c r="O46" s="14"/>
      <c r="P46" s="1">
        <f>SUM(OSRRefP22_4x_0)</f>
        <v>55258.51</v>
      </c>
      <c r="Q46" s="1"/>
      <c r="R46" s="5">
        <f t="shared" si="34"/>
        <v>0</v>
      </c>
      <c r="S46" s="1"/>
      <c r="T46" s="1">
        <f>SUM(OSRRefT22_4x_0)</f>
        <v>55259</v>
      </c>
      <c r="U46" s="1"/>
      <c r="V46" s="5">
        <f t="shared" si="35"/>
        <v>0</v>
      </c>
      <c r="W46" s="1"/>
      <c r="X46" s="1">
        <f t="shared" si="36"/>
        <v>-0.48999999999796273</v>
      </c>
      <c r="Y46" s="1"/>
      <c r="Z46" s="5">
        <f t="shared" si="37"/>
        <v>-8.8673338279368563E-6</v>
      </c>
    </row>
    <row r="47" spans="1:26" s="24" customFormat="1" hidden="1" outlineLevel="2" x14ac:dyDescent="0.25">
      <c r="A47" s="27"/>
      <c r="B47" s="11" t="str">
        <f>CONCATENATE("          ", "6321", " - ", "BUILDING DEPRECIATION")</f>
        <v xml:space="preserve">          6321 - BUILDING DEPRECIATION</v>
      </c>
      <c r="C47" s="11"/>
      <c r="D47" s="7">
        <v>6537.05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6537.05</v>
      </c>
      <c r="M47" s="2"/>
      <c r="N47" s="6">
        <f t="shared" si="33"/>
        <v>0</v>
      </c>
      <c r="O47" s="11"/>
      <c r="P47" s="7">
        <v>52296.4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52296.4</v>
      </c>
      <c r="Y47" s="2"/>
      <c r="Z47" s="6">
        <f t="shared" si="37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208.12</v>
      </c>
      <c r="E48" s="2"/>
      <c r="F48" s="6">
        <f t="shared" si="30"/>
        <v>0</v>
      </c>
      <c r="G48" s="2"/>
      <c r="H48" s="7">
        <v>6745</v>
      </c>
      <c r="I48" s="2"/>
      <c r="J48" s="6">
        <f t="shared" si="31"/>
        <v>0</v>
      </c>
      <c r="K48" s="2"/>
      <c r="L48" s="7">
        <f t="shared" si="32"/>
        <v>-6536.88</v>
      </c>
      <c r="M48" s="2"/>
      <c r="N48" s="6">
        <f t="shared" si="33"/>
        <v>-0.96914455151964418</v>
      </c>
      <c r="O48" s="11"/>
      <c r="P48" s="7">
        <v>2962.11</v>
      </c>
      <c r="Q48" s="2"/>
      <c r="R48" s="6">
        <f t="shared" si="34"/>
        <v>0</v>
      </c>
      <c r="S48" s="2"/>
      <c r="T48" s="7">
        <v>55259</v>
      </c>
      <c r="U48" s="2"/>
      <c r="V48" s="6">
        <f t="shared" si="35"/>
        <v>0</v>
      </c>
      <c r="W48" s="2"/>
      <c r="X48" s="7">
        <f t="shared" si="36"/>
        <v>-52296.89</v>
      </c>
      <c r="Y48" s="2"/>
      <c r="Z48" s="6">
        <f t="shared" si="37"/>
        <v>-0.94639588121391993</v>
      </c>
    </row>
    <row r="49" spans="1:26" s="28" customFormat="1" outlineLevel="1" collapsed="1" x14ac:dyDescent="0.25">
      <c r="A49" s="29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7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>
        <v>0</v>
      </c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8" customFormat="1" outlineLevel="1" collapsed="1" x14ac:dyDescent="0.25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7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263.72000000000003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263.72000000000003</v>
      </c>
      <c r="Y52" s="2"/>
      <c r="Z52" s="6">
        <f t="shared" si="45"/>
        <v>0</v>
      </c>
    </row>
    <row r="53" spans="1:26" s="28" customFormat="1" outlineLevel="1" collapsed="1" x14ac:dyDescent="0.25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1685</v>
      </c>
      <c r="E53" s="1"/>
      <c r="F53" s="5">
        <f t="shared" si="38"/>
        <v>0</v>
      </c>
      <c r="G53" s="1"/>
      <c r="H53" s="1">
        <f>SUM(OSRRefH22_7x_0)</f>
        <v>1800</v>
      </c>
      <c r="I53" s="1"/>
      <c r="J53" s="5">
        <f t="shared" si="39"/>
        <v>0</v>
      </c>
      <c r="K53" s="1"/>
      <c r="L53" s="1">
        <f t="shared" si="40"/>
        <v>-115</v>
      </c>
      <c r="M53" s="1"/>
      <c r="N53" s="5">
        <f t="shared" si="41"/>
        <v>-6.3888888888888884E-2</v>
      </c>
      <c r="O53" s="14"/>
      <c r="P53" s="1">
        <f>SUM(OSRRefP22_7x_0)</f>
        <v>2969.55</v>
      </c>
      <c r="Q53" s="1"/>
      <c r="R53" s="5">
        <f t="shared" si="42"/>
        <v>0</v>
      </c>
      <c r="S53" s="1"/>
      <c r="T53" s="1">
        <f>SUM(OSRRefT22_7x_0)</f>
        <v>1800</v>
      </c>
      <c r="U53" s="1"/>
      <c r="V53" s="5">
        <f t="shared" si="43"/>
        <v>0</v>
      </c>
      <c r="W53" s="1"/>
      <c r="X53" s="1">
        <f t="shared" si="44"/>
        <v>1169.5500000000002</v>
      </c>
      <c r="Y53" s="1"/>
      <c r="Z53" s="5">
        <f t="shared" si="45"/>
        <v>0.64975000000000005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7">
        <v>1685</v>
      </c>
      <c r="E54" s="2"/>
      <c r="F54" s="6">
        <f t="shared" si="38"/>
        <v>0</v>
      </c>
      <c r="G54" s="2"/>
      <c r="H54" s="7">
        <v>1800</v>
      </c>
      <c r="I54" s="2"/>
      <c r="J54" s="6">
        <f t="shared" si="39"/>
        <v>0</v>
      </c>
      <c r="K54" s="2"/>
      <c r="L54" s="7">
        <f t="shared" si="40"/>
        <v>-115</v>
      </c>
      <c r="M54" s="2"/>
      <c r="N54" s="6">
        <f t="shared" si="41"/>
        <v>-6.3888888888888884E-2</v>
      </c>
      <c r="O54" s="11"/>
      <c r="P54" s="7">
        <v>2969.55</v>
      </c>
      <c r="Q54" s="2"/>
      <c r="R54" s="6">
        <f t="shared" si="42"/>
        <v>0</v>
      </c>
      <c r="S54" s="2"/>
      <c r="T54" s="7">
        <v>1800</v>
      </c>
      <c r="U54" s="2"/>
      <c r="V54" s="6">
        <f t="shared" si="43"/>
        <v>0</v>
      </c>
      <c r="W54" s="2"/>
      <c r="X54" s="7">
        <f t="shared" si="44"/>
        <v>1169.5500000000002</v>
      </c>
      <c r="Y54" s="2"/>
      <c r="Z54" s="6">
        <f t="shared" si="45"/>
        <v>0.64975000000000005</v>
      </c>
    </row>
    <row r="55" spans="1:26" s="28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0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SUM(OSRRefP22_8x_0)</f>
        <v>476.33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476.33</v>
      </c>
      <c r="Y55" s="1"/>
      <c r="Z55" s="5">
        <f t="shared" si="45"/>
        <v>0</v>
      </c>
    </row>
    <row r="56" spans="1:26" s="24" customFormat="1" hidden="1" outlineLevel="2" x14ac:dyDescent="0.25">
      <c r="A56" s="27"/>
      <c r="B56" s="11" t="str">
        <f>CONCATENATE("          ", "6372", " - ", "COMPUTER HARDWARE MAINTENANCE")</f>
        <v xml:space="preserve">          6372 - COMPUTER HARDWARE MAINTENANCE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/>
      <c r="Q56" s="2"/>
      <c r="R56" s="6">
        <f t="shared" si="42"/>
        <v>0</v>
      </c>
      <c r="S56" s="2"/>
      <c r="T56" s="7">
        <v>0</v>
      </c>
      <c r="U56" s="2"/>
      <c r="V56" s="6">
        <f t="shared" si="43"/>
        <v>0</v>
      </c>
      <c r="W56" s="2"/>
      <c r="X56" s="7">
        <f t="shared" si="44"/>
        <v>0</v>
      </c>
      <c r="Y56" s="2"/>
      <c r="Z56" s="6">
        <f t="shared" si="45"/>
        <v>0</v>
      </c>
    </row>
    <row r="57" spans="1:26" s="24" customFormat="1" hidden="1" outlineLevel="2" x14ac:dyDescent="0.25">
      <c r="A57" s="27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38"/>
        <v>0</v>
      </c>
      <c r="G57" s="2"/>
      <c r="H57" s="7">
        <v>0</v>
      </c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476.33</v>
      </c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476.33</v>
      </c>
      <c r="Y57" s="2"/>
      <c r="Z57" s="6">
        <f t="shared" si="45"/>
        <v>0</v>
      </c>
    </row>
    <row r="58" spans="1:26" s="24" customFormat="1" hidden="1" outlineLevel="2" x14ac:dyDescent="0.2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0</v>
      </c>
      <c r="Y58" s="2"/>
      <c r="Z58" s="6">
        <f t="shared" si="45"/>
        <v>0</v>
      </c>
    </row>
    <row r="59" spans="1:26" s="28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7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46"/>
        <v>0</v>
      </c>
      <c r="G60" s="2"/>
      <c r="H60" s="7">
        <v>0</v>
      </c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0</v>
      </c>
      <c r="U60" s="2"/>
      <c r="V60" s="6">
        <f t="shared" si="51"/>
        <v>0</v>
      </c>
      <c r="W60" s="2"/>
      <c r="X60" s="7">
        <f t="shared" si="52"/>
        <v>0</v>
      </c>
      <c r="Y60" s="2"/>
      <c r="Z60" s="6">
        <f t="shared" si="53"/>
        <v>0</v>
      </c>
    </row>
    <row r="61" spans="1:26" s="24" customFormat="1" hidden="1" outlineLevel="2" x14ac:dyDescent="0.25">
      <c r="A61" s="27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8" customFormat="1" outlineLevel="1" collapsed="1" x14ac:dyDescent="0.25">
      <c r="A62" s="29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64" si="54">IF(D$12=0,0,D62/D$12)</f>
        <v>0</v>
      </c>
      <c r="G62" s="1"/>
      <c r="H62" s="1">
        <f>SUM(OSRRefH22_10x_0)</f>
        <v>0</v>
      </c>
      <c r="I62" s="1"/>
      <c r="J62" s="5">
        <f t="shared" ref="J62:J64" si="55">IF(H$12=0,0,H62/H$12)</f>
        <v>0</v>
      </c>
      <c r="K62" s="1"/>
      <c r="L62" s="1">
        <f t="shared" ref="L62:L64" si="56">+D62-H62</f>
        <v>0</v>
      </c>
      <c r="M62" s="1"/>
      <c r="N62" s="5">
        <f t="shared" ref="N62:N64" si="57">IF(H62=0,0,L62/H62)</f>
        <v>0</v>
      </c>
      <c r="O62" s="14"/>
      <c r="P62" s="1">
        <f>SUM(OSRRefP22_10x_0)</f>
        <v>0</v>
      </c>
      <c r="Q62" s="1"/>
      <c r="R62" s="5">
        <f t="shared" ref="R62:R64" si="58">IF(P$12=0,0,P62/P$12)</f>
        <v>0</v>
      </c>
      <c r="S62" s="1"/>
      <c r="T62" s="1">
        <f>SUM(OSRRefT22_10x_0)</f>
        <v>0</v>
      </c>
      <c r="U62" s="1"/>
      <c r="V62" s="5">
        <f t="shared" ref="V62:V64" si="59">IF(T$12=0,0,T62/T$12)</f>
        <v>0</v>
      </c>
      <c r="W62" s="1"/>
      <c r="X62" s="1">
        <f t="shared" ref="X62:X64" si="60">+P62-T62</f>
        <v>0</v>
      </c>
      <c r="Y62" s="1"/>
      <c r="Z62" s="5">
        <f t="shared" ref="Z62:Z64" si="61">IF(T62=0,0,X62/T62)</f>
        <v>0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54"/>
        <v>0</v>
      </c>
      <c r="G63" s="2"/>
      <c r="H63" s="7"/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0</v>
      </c>
      <c r="U63" s="2"/>
      <c r="V63" s="6">
        <f t="shared" si="59"/>
        <v>0</v>
      </c>
      <c r="W63" s="2"/>
      <c r="X63" s="7">
        <f t="shared" si="60"/>
        <v>0</v>
      </c>
      <c r="Y63" s="2"/>
      <c r="Z63" s="6">
        <f t="shared" si="61"/>
        <v>0</v>
      </c>
    </row>
    <row r="64" spans="1:26" s="24" customFormat="1" hidden="1" outlineLevel="2" x14ac:dyDescent="0.25">
      <c r="A64" s="27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54"/>
        <v>0</v>
      </c>
      <c r="G64" s="2"/>
      <c r="H64" s="7">
        <v>0</v>
      </c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8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0</v>
      </c>
      <c r="E65" s="1"/>
      <c r="F65" s="5">
        <f t="shared" ref="F65:F75" si="62">IF(D$12=0,0,D65/D$12)</f>
        <v>0</v>
      </c>
      <c r="G65" s="1"/>
      <c r="H65" s="1">
        <f>SUM(OSRRefH22_11x_0)</f>
        <v>0</v>
      </c>
      <c r="I65" s="1"/>
      <c r="J65" s="5">
        <f t="shared" ref="J65:J75" si="63">IF(H$12=0,0,H65/H$12)</f>
        <v>0</v>
      </c>
      <c r="K65" s="1"/>
      <c r="L65" s="1">
        <f t="shared" ref="L65:L75" si="64">+D65-H65</f>
        <v>0</v>
      </c>
      <c r="M65" s="1"/>
      <c r="N65" s="5">
        <f t="shared" ref="N65:N75" si="65">IF(H65=0,0,L65/H65)</f>
        <v>0</v>
      </c>
      <c r="O65" s="14"/>
      <c r="P65" s="1">
        <f>SUM(OSRRefP22_11x_0)</f>
        <v>0</v>
      </c>
      <c r="Q65" s="1"/>
      <c r="R65" s="5">
        <f t="shared" ref="R65:R75" si="66">IF(P$12=0,0,P65/P$12)</f>
        <v>0</v>
      </c>
      <c r="S65" s="1"/>
      <c r="T65" s="1">
        <f>SUM(OSRRefT22_11x_0)</f>
        <v>0</v>
      </c>
      <c r="U65" s="1"/>
      <c r="V65" s="5">
        <f t="shared" ref="V65:V75" si="67">IF(T$12=0,0,T65/T$12)</f>
        <v>0</v>
      </c>
      <c r="W65" s="1"/>
      <c r="X65" s="1">
        <f t="shared" ref="X65:X75" si="68">+P65-T65</f>
        <v>0</v>
      </c>
      <c r="Y65" s="1"/>
      <c r="Z65" s="5">
        <f t="shared" ref="Z65:Z75" si="69">IF(T65=0,0,X65/T65)</f>
        <v>0</v>
      </c>
    </row>
    <row r="66" spans="1:26" s="24" customFormat="1" hidden="1" outlineLevel="2" x14ac:dyDescent="0.25">
      <c r="A66" s="27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62"/>
        <v>0</v>
      </c>
      <c r="G66" s="2"/>
      <c r="H66" s="7"/>
      <c r="I66" s="2"/>
      <c r="J66" s="6">
        <f t="shared" si="63"/>
        <v>0</v>
      </c>
      <c r="K66" s="2"/>
      <c r="L66" s="7">
        <f t="shared" si="64"/>
        <v>0</v>
      </c>
      <c r="M66" s="2"/>
      <c r="N66" s="6">
        <f t="shared" si="65"/>
        <v>0</v>
      </c>
      <c r="O66" s="11"/>
      <c r="P66" s="7"/>
      <c r="Q66" s="2"/>
      <c r="R66" s="6">
        <f t="shared" si="66"/>
        <v>0</v>
      </c>
      <c r="S66" s="2"/>
      <c r="T66" s="7">
        <v>0</v>
      </c>
      <c r="U66" s="2"/>
      <c r="V66" s="6">
        <f t="shared" si="67"/>
        <v>0</v>
      </c>
      <c r="W66" s="2"/>
      <c r="X66" s="7">
        <f t="shared" si="68"/>
        <v>0</v>
      </c>
      <c r="Y66" s="2"/>
      <c r="Z66" s="6">
        <f t="shared" si="69"/>
        <v>0</v>
      </c>
    </row>
    <row r="67" spans="1:26" s="24" customFormat="1" hidden="1" outlineLevel="2" x14ac:dyDescent="0.25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62"/>
        <v>0</v>
      </c>
      <c r="G67" s="2"/>
      <c r="H67" s="7">
        <v>0</v>
      </c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62"/>
        <v>0</v>
      </c>
      <c r="G69" s="2"/>
      <c r="H69" s="7"/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62"/>
        <v>0</v>
      </c>
      <c r="G70" s="2"/>
      <c r="H70" s="7">
        <v>0</v>
      </c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25">
      <c r="A72" s="27"/>
      <c r="B72" s="11" t="str">
        <f>CONCATENATE("          ", "6244", " - ", "SAFETY SUPPLY EXPENSE")</f>
        <v xml:space="preserve">          6244 - SAFETY SUPPLY EXPENSE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25">
      <c r="A73" s="27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25">
      <c r="A74" s="27"/>
      <c r="B74" s="11" t="str">
        <f>CONCATENATE("          ", "6246", " - ", "REPLACEMENTS")</f>
        <v xml:space="preserve">          6246 - REPLACEMENTS</v>
      </c>
      <c r="C74" s="11"/>
      <c r="D74" s="7"/>
      <c r="E74" s="2"/>
      <c r="F74" s="6">
        <f t="shared" si="62"/>
        <v>0</v>
      </c>
      <c r="G74" s="2"/>
      <c r="H74" s="7"/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8" customFormat="1" outlineLevel="1" collapsed="1" x14ac:dyDescent="0.25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70">IF(D$12=0,0,D76/D$12)</f>
        <v>0</v>
      </c>
      <c r="G76" s="1"/>
      <c r="H76" s="1">
        <f>SUM(OSRRefH22_12x_0)</f>
        <v>0</v>
      </c>
      <c r="I76" s="1"/>
      <c r="J76" s="5">
        <f t="shared" ref="J76:J78" si="71">IF(H$12=0,0,H76/H$12)</f>
        <v>0</v>
      </c>
      <c r="K76" s="1"/>
      <c r="L76" s="1">
        <f t="shared" ref="L76:L78" si="72">+D76-H76</f>
        <v>0</v>
      </c>
      <c r="M76" s="1"/>
      <c r="N76" s="5">
        <f t="shared" ref="N76:N78" si="73">IF(H76=0,0,L76/H76)</f>
        <v>0</v>
      </c>
      <c r="O76" s="14"/>
      <c r="P76" s="1">
        <f>SUM(OSRRefP22_12x_0)</f>
        <v>250.87</v>
      </c>
      <c r="Q76" s="1"/>
      <c r="R76" s="5">
        <f t="shared" ref="R76:R78" si="74">IF(P$12=0,0,P76/P$12)</f>
        <v>0</v>
      </c>
      <c r="S76" s="1"/>
      <c r="T76" s="1">
        <f>SUM(OSRRefT22_12x_0)</f>
        <v>0</v>
      </c>
      <c r="U76" s="1"/>
      <c r="V76" s="5">
        <f t="shared" ref="V76:V78" si="75">IF(T$12=0,0,T76/T$12)</f>
        <v>0</v>
      </c>
      <c r="W76" s="1"/>
      <c r="X76" s="1">
        <f t="shared" ref="X76:X78" si="76">+P76-T76</f>
        <v>250.87</v>
      </c>
      <c r="Y76" s="1"/>
      <c r="Z76" s="5">
        <f t="shared" ref="Z76:Z78" si="77">IF(T76=0,0,X76/T76)</f>
        <v>0</v>
      </c>
    </row>
    <row r="77" spans="1:26" s="24" customFormat="1" hidden="1" outlineLevel="2" x14ac:dyDescent="0.25">
      <c r="A77" s="27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70"/>
        <v>0</v>
      </c>
      <c r="G77" s="2"/>
      <c r="H77" s="7">
        <v>0</v>
      </c>
      <c r="I77" s="2"/>
      <c r="J77" s="6">
        <f t="shared" si="71"/>
        <v>0</v>
      </c>
      <c r="K77" s="2"/>
      <c r="L77" s="7">
        <f t="shared" si="72"/>
        <v>0</v>
      </c>
      <c r="M77" s="2"/>
      <c r="N77" s="6">
        <f t="shared" si="73"/>
        <v>0</v>
      </c>
      <c r="O77" s="11"/>
      <c r="P77" s="7"/>
      <c r="Q77" s="2"/>
      <c r="R77" s="6">
        <f t="shared" si="74"/>
        <v>0</v>
      </c>
      <c r="S77" s="2"/>
      <c r="T77" s="7">
        <v>0</v>
      </c>
      <c r="U77" s="2"/>
      <c r="V77" s="6">
        <f t="shared" si="75"/>
        <v>0</v>
      </c>
      <c r="W77" s="2"/>
      <c r="X77" s="7">
        <f t="shared" si="76"/>
        <v>0</v>
      </c>
      <c r="Y77" s="2"/>
      <c r="Z77" s="6">
        <f t="shared" si="77"/>
        <v>0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7"/>
      <c r="E78" s="2"/>
      <c r="F78" s="6">
        <f t="shared" si="70"/>
        <v>0</v>
      </c>
      <c r="G78" s="2"/>
      <c r="H78" s="7"/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>
        <v>250.87</v>
      </c>
      <c r="Q78" s="2"/>
      <c r="R78" s="6">
        <f t="shared" si="74"/>
        <v>0</v>
      </c>
      <c r="S78" s="2"/>
      <c r="T78" s="7"/>
      <c r="U78" s="2"/>
      <c r="V78" s="6">
        <f t="shared" si="75"/>
        <v>0</v>
      </c>
      <c r="W78" s="2"/>
      <c r="X78" s="7">
        <f t="shared" si="76"/>
        <v>250.87</v>
      </c>
      <c r="Y78" s="2"/>
      <c r="Z78" s="6">
        <f t="shared" si="77"/>
        <v>0</v>
      </c>
    </row>
    <row r="79" spans="1:26" s="28" customFormat="1" outlineLevel="1" collapsed="1" x14ac:dyDescent="0.25">
      <c r="A79" s="29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0" si="78">IF(D$12=0,0,D79/D$12)</f>
        <v>0</v>
      </c>
      <c r="G79" s="1"/>
      <c r="H79" s="1">
        <f>SUM(OSRRefH22_13x_0)</f>
        <v>0</v>
      </c>
      <c r="I79" s="1"/>
      <c r="J79" s="5">
        <f t="shared" ref="J79:J80" si="79">IF(H$12=0,0,H79/H$12)</f>
        <v>0</v>
      </c>
      <c r="K79" s="1"/>
      <c r="L79" s="1">
        <f t="shared" ref="L79:L80" si="80">+D79-H79</f>
        <v>0</v>
      </c>
      <c r="M79" s="1"/>
      <c r="N79" s="5">
        <f t="shared" ref="N79:N80" si="81">IF(H79=0,0,L79/H79)</f>
        <v>0</v>
      </c>
      <c r="O79" s="14"/>
      <c r="P79" s="1">
        <f>SUM(OSRRefP22_13x_0)</f>
        <v>0</v>
      </c>
      <c r="Q79" s="1"/>
      <c r="R79" s="5">
        <f t="shared" ref="R79:R80" si="82">IF(P$12=0,0,P79/P$12)</f>
        <v>0</v>
      </c>
      <c r="S79" s="1"/>
      <c r="T79" s="1">
        <f>SUM(OSRRefT22_13x_0)</f>
        <v>0</v>
      </c>
      <c r="U79" s="1"/>
      <c r="V79" s="5">
        <f t="shared" ref="V79:V80" si="83">IF(T$12=0,0,T79/T$12)</f>
        <v>0</v>
      </c>
      <c r="W79" s="1"/>
      <c r="X79" s="1">
        <f t="shared" ref="X79:X80" si="84">+P79-T79</f>
        <v>0</v>
      </c>
      <c r="Y79" s="1"/>
      <c r="Z79" s="5">
        <f t="shared" ref="Z79:Z80" si="85">IF(T79=0,0,X79/T79)</f>
        <v>0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78"/>
        <v>0</v>
      </c>
      <c r="G80" s="2"/>
      <c r="H80" s="7">
        <v>0</v>
      </c>
      <c r="I80" s="2"/>
      <c r="J80" s="6">
        <f t="shared" si="79"/>
        <v>0</v>
      </c>
      <c r="K80" s="2"/>
      <c r="L80" s="7">
        <f t="shared" si="80"/>
        <v>0</v>
      </c>
      <c r="M80" s="2"/>
      <c r="N80" s="6">
        <f t="shared" si="81"/>
        <v>0</v>
      </c>
      <c r="O80" s="11"/>
      <c r="P80" s="7"/>
      <c r="Q80" s="2"/>
      <c r="R80" s="6">
        <f t="shared" si="82"/>
        <v>0</v>
      </c>
      <c r="S80" s="2"/>
      <c r="T80" s="7">
        <v>0</v>
      </c>
      <c r="U80" s="2"/>
      <c r="V80" s="6">
        <f t="shared" si="83"/>
        <v>0</v>
      </c>
      <c r="W80" s="2"/>
      <c r="X80" s="7">
        <f t="shared" si="84"/>
        <v>0</v>
      </c>
      <c r="Y80" s="2"/>
      <c r="Z80" s="6">
        <f t="shared" si="85"/>
        <v>0</v>
      </c>
    </row>
    <row r="81" spans="1:26" s="58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6" t="s">
        <v>0</v>
      </c>
      <c r="C82" s="10"/>
      <c r="D82" s="4">
        <f>SUM(OSRRefD25x_0)</f>
        <v>0</v>
      </c>
      <c r="E82" s="4"/>
      <c r="F82" s="12">
        <f t="shared" ref="F82:F83" si="86">IF(D$12=0,0,D82/D$12)</f>
        <v>0</v>
      </c>
      <c r="G82" s="4"/>
      <c r="H82" s="4">
        <f>SUM(OSRRefH25x_0)</f>
        <v>0</v>
      </c>
      <c r="I82" s="4"/>
      <c r="J82" s="12">
        <f t="shared" ref="J82:J83" si="87">IF(H$12=0,0,H82/H$12)</f>
        <v>0</v>
      </c>
      <c r="K82" s="4"/>
      <c r="L82" s="4">
        <f t="shared" ref="L82:L83" si="88">+D82-H82</f>
        <v>0</v>
      </c>
      <c r="M82" s="4"/>
      <c r="N82" s="12">
        <f t="shared" ref="N82:N83" si="89">IF(H82=0,0,L82/H82)</f>
        <v>0</v>
      </c>
      <c r="O82" s="10"/>
      <c r="P82" s="4">
        <f>SUM(OSRRefP25x_0)</f>
        <v>111.42</v>
      </c>
      <c r="Q82" s="4"/>
      <c r="R82" s="12">
        <f t="shared" ref="R82:R83" si="90">IF(P$12=0,0,P82/P$12)</f>
        <v>0</v>
      </c>
      <c r="S82" s="4"/>
      <c r="T82" s="4">
        <f>SUM(OSRRefT25x_0)</f>
        <v>0</v>
      </c>
      <c r="U82" s="4"/>
      <c r="V82" s="12">
        <f t="shared" ref="V82:V83" si="91">IF(T$12=0,0,T82/T$12)</f>
        <v>0</v>
      </c>
      <c r="W82" s="4"/>
      <c r="X82" s="4">
        <f t="shared" ref="X82:X83" si="92">+P82-T82</f>
        <v>111.42</v>
      </c>
      <c r="Y82" s="4"/>
      <c r="Z82" s="12">
        <f t="shared" ref="Z82:Z83" si="93">IF(T82=0,0,X82/T82)</f>
        <v>0</v>
      </c>
    </row>
    <row r="83" spans="1:26" s="24" customFormat="1" hidden="1" outlineLevel="1" x14ac:dyDescent="0.25">
      <c r="A83" s="51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22">
        <f t="shared" si="86"/>
        <v>0</v>
      </c>
      <c r="G83" s="2"/>
      <c r="H83" s="2"/>
      <c r="I83" s="2"/>
      <c r="J83" s="22">
        <f t="shared" si="87"/>
        <v>0</v>
      </c>
      <c r="K83" s="2"/>
      <c r="L83" s="2">
        <f t="shared" si="88"/>
        <v>0</v>
      </c>
      <c r="M83" s="2"/>
      <c r="N83" s="22">
        <f t="shared" si="89"/>
        <v>0</v>
      </c>
      <c r="O83" s="11"/>
      <c r="P83" s="2">
        <f>--111.42</f>
        <v>111.42</v>
      </c>
      <c r="Q83" s="2"/>
      <c r="R83" s="22">
        <f t="shared" si="90"/>
        <v>0</v>
      </c>
      <c r="S83" s="2"/>
      <c r="T83" s="2"/>
      <c r="U83" s="2"/>
      <c r="V83" s="22">
        <f t="shared" si="91"/>
        <v>0</v>
      </c>
      <c r="W83" s="2"/>
      <c r="X83" s="2">
        <f t="shared" si="92"/>
        <v>111.42</v>
      </c>
      <c r="Y83" s="2"/>
      <c r="Z83" s="22">
        <f t="shared" si="93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5" t="s">
        <v>3</v>
      </c>
      <c r="C85" s="25"/>
      <c r="D85" s="19">
        <f>+D19-D21+D82</f>
        <v>-8430.17</v>
      </c>
      <c r="E85" s="13"/>
      <c r="F85" s="21">
        <f>IF(D$12=0,0,D85/D$12)</f>
        <v>0</v>
      </c>
      <c r="G85" s="13"/>
      <c r="H85" s="19">
        <f>+H19-H21+H82</f>
        <v>-8545</v>
      </c>
      <c r="I85" s="13"/>
      <c r="J85" s="21">
        <f>IF(H$12=0,0,H85/H$12)</f>
        <v>0</v>
      </c>
      <c r="K85" s="15"/>
      <c r="L85" s="19">
        <f>+D85-H85</f>
        <v>114.82999999999993</v>
      </c>
      <c r="M85" s="15"/>
      <c r="N85" s="21">
        <f>IF(H85=0,0,L85/H85)</f>
        <v>-1.3438267992978342E-2</v>
      </c>
      <c r="O85" s="26"/>
      <c r="P85" s="19">
        <f>+P19-P21+P82</f>
        <v>-67345.570000000007</v>
      </c>
      <c r="Q85" s="13"/>
      <c r="R85" s="21">
        <f>IF(P$12=0,0,P85/P$12)</f>
        <v>0</v>
      </c>
      <c r="S85" s="13"/>
      <c r="T85" s="19">
        <f>+T19-T21+T82</f>
        <v>-57059</v>
      </c>
      <c r="U85" s="13"/>
      <c r="V85" s="21">
        <f>IF(T$12=0,0,T85/T$12)</f>
        <v>0</v>
      </c>
      <c r="W85" s="15"/>
      <c r="X85" s="19">
        <f>+P85-T85</f>
        <v>-10286.570000000007</v>
      </c>
      <c r="Y85" s="15"/>
      <c r="Z85" s="21">
        <f>IF(T85=0,0,X85/T85)</f>
        <v>0.18027953521793244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4</v>
      </c>
      <c r="C89" s="25"/>
      <c r="D89" s="34">
        <f>+D85-D87</f>
        <v>-8430.17</v>
      </c>
      <c r="E89" s="13"/>
      <c r="F89" s="30">
        <f>IF(D$12=0,0,D89/D$12)</f>
        <v>0</v>
      </c>
      <c r="G89" s="13"/>
      <c r="H89" s="34">
        <f>+H85-H87</f>
        <v>-8545</v>
      </c>
      <c r="I89" s="13"/>
      <c r="J89" s="30">
        <f>IF(H$12=0,0,H89/H$12)</f>
        <v>0</v>
      </c>
      <c r="K89" s="15"/>
      <c r="L89" s="34">
        <f>D89-H89</f>
        <v>114.82999999999993</v>
      </c>
      <c r="M89" s="15"/>
      <c r="N89" s="30">
        <f>IF(H89=0,0,L89/H89)</f>
        <v>-1.3438267992978342E-2</v>
      </c>
      <c r="O89" s="26"/>
      <c r="P89" s="34">
        <f>+P85-P87</f>
        <v>-67345.570000000007</v>
      </c>
      <c r="Q89" s="13"/>
      <c r="R89" s="30">
        <f>IF(P$12=0,0,P89/P$12)</f>
        <v>0</v>
      </c>
      <c r="S89" s="13"/>
      <c r="T89" s="34">
        <f>+T85-T87</f>
        <v>-57059</v>
      </c>
      <c r="U89" s="13"/>
      <c r="V89" s="30">
        <f>IF(T$12=0,0,T89/T$12)</f>
        <v>0</v>
      </c>
      <c r="W89" s="15"/>
      <c r="X89" s="34">
        <f>P89-T89</f>
        <v>-10286.570000000007</v>
      </c>
      <c r="Y89" s="15"/>
      <c r="Z89" s="30">
        <f>IF(T89=0,0,X89/T89)</f>
        <v>0.18027953521793244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5</v>
      </c>
      <c r="C92" s="25"/>
      <c r="D92" s="35">
        <f>SUM(D89:D91)</f>
        <v>-8430.17</v>
      </c>
      <c r="E92" s="13"/>
      <c r="F92" s="31">
        <f>IF(D$12=0,0,D92/D$12)</f>
        <v>0</v>
      </c>
      <c r="G92" s="13"/>
      <c r="H92" s="35">
        <f>SUM(H89:H91)</f>
        <v>-8545</v>
      </c>
      <c r="I92" s="13"/>
      <c r="J92" s="31">
        <f>IF(H$12=0,0,H92/H$12)</f>
        <v>0</v>
      </c>
      <c r="K92" s="15"/>
      <c r="L92" s="35">
        <f>+D92-H92</f>
        <v>114.82999999999993</v>
      </c>
      <c r="M92" s="15"/>
      <c r="N92" s="31">
        <f>IF(H92=0,0,L92/H92)</f>
        <v>-1.3438267992978342E-2</v>
      </c>
      <c r="O92" s="26"/>
      <c r="P92" s="35">
        <f>SUM(P89:P91)</f>
        <v>-67345.570000000007</v>
      </c>
      <c r="Q92" s="13"/>
      <c r="R92" s="31">
        <f>IF(P$12=0,0,P92/P$12)</f>
        <v>0</v>
      </c>
      <c r="S92" s="13"/>
      <c r="T92" s="35">
        <f>SUM(T89:T91)</f>
        <v>-57059</v>
      </c>
      <c r="U92" s="13"/>
      <c r="V92" s="31">
        <f>IF(T$12=0,0,T92/T$12)</f>
        <v>0</v>
      </c>
      <c r="W92" s="15"/>
      <c r="X92" s="35">
        <f>+P92-T92</f>
        <v>-10286.570000000007</v>
      </c>
      <c r="Y92" s="15"/>
      <c r="Z92" s="31">
        <f>IF(T92=0,0,X92/T92)</f>
        <v>0.18027953521793244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3">
        <v>44267.672152395833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62" t="s">
        <v>314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7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49980.95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49980.95</v>
      </c>
      <c r="M12" s="4"/>
      <c r="N12" s="12">
        <f t="shared" ref="N12:N13" si="1">IF(H12=0,0,L12/H12)</f>
        <v>0</v>
      </c>
      <c r="O12" s="10"/>
      <c r="P12" s="4">
        <f>SUM(OSRRefP13x_0)</f>
        <v>280157.8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280157.8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"4052", " - ", "TAXABLE SALES-FOOD")</f>
        <v xml:space="preserve">          4052 - TAXABLE SALES-FOOD</v>
      </c>
      <c r="C13" s="11"/>
      <c r="D13" s="2">
        <f>--49980.95</f>
        <v>49980.95</v>
      </c>
      <c r="E13" s="2"/>
      <c r="F13" s="22"/>
      <c r="G13" s="2"/>
      <c r="H13" s="2"/>
      <c r="I13" s="2"/>
      <c r="J13" s="22"/>
      <c r="K13" s="2"/>
      <c r="L13" s="2">
        <f t="shared" si="0"/>
        <v>49980.95</v>
      </c>
      <c r="M13" s="2"/>
      <c r="N13" s="22">
        <f t="shared" si="1"/>
        <v>0</v>
      </c>
      <c r="O13" s="11"/>
      <c r="P13" s="2">
        <f>--280157.8</f>
        <v>280157.8</v>
      </c>
      <c r="Q13" s="2"/>
      <c r="R13" s="22"/>
      <c r="S13" s="2"/>
      <c r="T13" s="2"/>
      <c r="U13" s="2"/>
      <c r="V13" s="22"/>
      <c r="W13" s="2"/>
      <c r="X13" s="2">
        <f t="shared" si="2"/>
        <v>280157.8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49980.95</v>
      </c>
      <c r="E17" s="13"/>
      <c r="F17" s="21">
        <f>IF(D$12=0,0,D17/D$12)</f>
        <v>1</v>
      </c>
      <c r="G17" s="13"/>
      <c r="H17" s="19">
        <f>H12-H15</f>
        <v>0</v>
      </c>
      <c r="I17" s="13"/>
      <c r="J17" s="21">
        <f>IF(H$12=0,0,H17/H$12)</f>
        <v>0</v>
      </c>
      <c r="K17" s="15"/>
      <c r="L17" s="19">
        <f>+D17-H17</f>
        <v>49980.95</v>
      </c>
      <c r="M17" s="15"/>
      <c r="N17" s="21">
        <f>IF(H17=0,0,L17/H17)</f>
        <v>0</v>
      </c>
      <c r="O17" s="26"/>
      <c r="P17" s="19">
        <f>P12-P15</f>
        <v>280157.8</v>
      </c>
      <c r="Q17" s="13"/>
      <c r="R17" s="21">
        <f>IF(P$12=0,0,P17/P$12)</f>
        <v>1</v>
      </c>
      <c r="S17" s="13"/>
      <c r="T17" s="19">
        <f>T12-T15</f>
        <v>0</v>
      </c>
      <c r="U17" s="13"/>
      <c r="V17" s="21">
        <f>IF(T$12=0,0,T17/T$12)</f>
        <v>0</v>
      </c>
      <c r="W17" s="15"/>
      <c r="X17" s="19">
        <f>+P17-T17</f>
        <v>280157.8</v>
      </c>
      <c r="Y17" s="15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0</v>
      </c>
      <c r="E19" s="20"/>
      <c r="F19" s="33">
        <f t="shared" ref="F19:F21" si="4">IF(D$12=0,0,D19/D$12)</f>
        <v>0</v>
      </c>
      <c r="G19" s="20"/>
      <c r="H19" s="20">
        <f>SUM(OSRRefH22x_0)</f>
        <v>0</v>
      </c>
      <c r="I19" s="20"/>
      <c r="J19" s="33">
        <f t="shared" ref="J19:J21" si="5">IF(H$12=0,0,H19/H$12)</f>
        <v>0</v>
      </c>
      <c r="K19" s="4"/>
      <c r="L19" s="20">
        <f t="shared" ref="L19:L21" si="6">+D19-H19</f>
        <v>0</v>
      </c>
      <c r="M19" s="4"/>
      <c r="N19" s="33">
        <f t="shared" ref="N19:N21" si="7">IF(H19=0,0,L19/H19)</f>
        <v>0</v>
      </c>
      <c r="O19" s="10"/>
      <c r="P19" s="20">
        <f>SUM(OSRRefP22x_0)</f>
        <v>7.86</v>
      </c>
      <c r="Q19" s="20"/>
      <c r="R19" s="33">
        <f t="shared" ref="R19:R21" si="8">IF(P$12=0,0,P19/P$12)</f>
        <v>2.8055617227148415E-5</v>
      </c>
      <c r="S19" s="20"/>
      <c r="T19" s="20">
        <f>SUM(OSRRefT22x_0)</f>
        <v>0</v>
      </c>
      <c r="U19" s="20"/>
      <c r="V19" s="33">
        <f t="shared" ref="V19:V21" si="9">IF(T$12=0,0,T19/T$12)</f>
        <v>0</v>
      </c>
      <c r="W19" s="4"/>
      <c r="X19" s="20">
        <f t="shared" ref="X19:X21" si="10">+P19-T19</f>
        <v>7.86</v>
      </c>
      <c r="Y19" s="4"/>
      <c r="Z19" s="33">
        <f t="shared" ref="Z19:Z21" si="11">IF(T19=0,0,X19/T19)</f>
        <v>0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7.86</v>
      </c>
      <c r="Q20" s="1"/>
      <c r="R20" s="5">
        <f t="shared" si="8"/>
        <v>2.8055617227148415E-5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7.86</v>
      </c>
      <c r="Y20" s="1"/>
      <c r="Z20" s="5">
        <f t="shared" si="11"/>
        <v>0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>
        <v>7.86</v>
      </c>
      <c r="Q21" s="2"/>
      <c r="R21" s="6">
        <f t="shared" si="8"/>
        <v>2.8055617227148415E-5</v>
      </c>
      <c r="S21" s="2"/>
      <c r="T21" s="7"/>
      <c r="U21" s="2"/>
      <c r="V21" s="6">
        <f t="shared" si="9"/>
        <v>0</v>
      </c>
      <c r="W21" s="2"/>
      <c r="X21" s="7">
        <f t="shared" si="10"/>
        <v>7.86</v>
      </c>
      <c r="Y21" s="2"/>
      <c r="Z21" s="6">
        <f t="shared" si="11"/>
        <v>0</v>
      </c>
    </row>
    <row r="22" spans="1:26" s="58" customFormat="1" x14ac:dyDescent="0.2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0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3</v>
      </c>
      <c r="C25" s="25"/>
      <c r="D25" s="19">
        <f>+D17-D19+D23</f>
        <v>49980.95</v>
      </c>
      <c r="E25" s="13"/>
      <c r="F25" s="21">
        <f>IF(D$12=0,0,D25/D$12)</f>
        <v>1</v>
      </c>
      <c r="G25" s="13"/>
      <c r="H25" s="19">
        <f>+H17-H19+H23</f>
        <v>0</v>
      </c>
      <c r="I25" s="13"/>
      <c r="J25" s="21">
        <f>IF(H$12=0,0,H25/H$12)</f>
        <v>0</v>
      </c>
      <c r="K25" s="15"/>
      <c r="L25" s="19">
        <f>+D25-H25</f>
        <v>49980.95</v>
      </c>
      <c r="M25" s="15"/>
      <c r="N25" s="21">
        <f>IF(H25=0,0,L25/H25)</f>
        <v>0</v>
      </c>
      <c r="O25" s="26"/>
      <c r="P25" s="19">
        <f>+P17-P19+P23</f>
        <v>280149.94</v>
      </c>
      <c r="Q25" s="13"/>
      <c r="R25" s="21">
        <f>IF(P$12=0,0,P25/P$12)</f>
        <v>0.99997194438277293</v>
      </c>
      <c r="S25" s="13"/>
      <c r="T25" s="19">
        <f>+T17-T19+T23</f>
        <v>0</v>
      </c>
      <c r="U25" s="13"/>
      <c r="V25" s="21">
        <f>IF(T$12=0,0,T25/T$12)</f>
        <v>0</v>
      </c>
      <c r="W25" s="15"/>
      <c r="X25" s="19">
        <f>+P25-T25</f>
        <v>280149.94</v>
      </c>
      <c r="Y25" s="15"/>
      <c r="Z25" s="21">
        <f>IF(T25=0,0,X25/T25)</f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52"/>
      <c r="B27" s="10" t="s">
        <v>14</v>
      </c>
      <c r="C27" s="10"/>
      <c r="D27" s="4">
        <v>13698.06</v>
      </c>
      <c r="E27" s="4"/>
      <c r="F27" s="12">
        <f>IF(D$12=0,0,D27/D$12)</f>
        <v>0.27406561900083931</v>
      </c>
      <c r="G27" s="4"/>
      <c r="H27" s="4"/>
      <c r="I27" s="4"/>
      <c r="J27" s="12">
        <f>IF(H$12=0,0,H27/H$12)</f>
        <v>0</v>
      </c>
      <c r="K27" s="4"/>
      <c r="L27" s="4">
        <f>+D27-H27</f>
        <v>13698.06</v>
      </c>
      <c r="M27" s="4"/>
      <c r="N27" s="12">
        <f>IF(H27=0,0,L27/H27)</f>
        <v>0</v>
      </c>
      <c r="O27" s="10"/>
      <c r="P27" s="4">
        <v>55481.270000000004</v>
      </c>
      <c r="Q27" s="4"/>
      <c r="R27" s="12">
        <f>IF(P$12=0,0,P27/P$12)</f>
        <v>0.19803578554657414</v>
      </c>
      <c r="S27" s="4"/>
      <c r="T27" s="4"/>
      <c r="U27" s="4"/>
      <c r="V27" s="12">
        <f>IF(T$12=0,0,T27/T$12)</f>
        <v>0</v>
      </c>
      <c r="W27" s="4"/>
      <c r="X27" s="4">
        <f>+P27-T27</f>
        <v>55481.270000000004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4</v>
      </c>
      <c r="C29" s="25"/>
      <c r="D29" s="34">
        <f>+D25-D27</f>
        <v>36282.89</v>
      </c>
      <c r="E29" s="13"/>
      <c r="F29" s="30">
        <f>IF(D$12=0,0,D29/D$12)</f>
        <v>0.72593438099916074</v>
      </c>
      <c r="G29" s="13"/>
      <c r="H29" s="34">
        <f>+H25-H27</f>
        <v>0</v>
      </c>
      <c r="I29" s="13"/>
      <c r="J29" s="30">
        <f>IF(H$12=0,0,H29/H$12)</f>
        <v>0</v>
      </c>
      <c r="K29" s="15"/>
      <c r="L29" s="34">
        <f>D29-H29</f>
        <v>36282.89</v>
      </c>
      <c r="M29" s="15"/>
      <c r="N29" s="30">
        <f>IF(H29=0,0,L29/H29)</f>
        <v>0</v>
      </c>
      <c r="O29" s="26"/>
      <c r="P29" s="34">
        <f>+P25-P27</f>
        <v>224668.66999999998</v>
      </c>
      <c r="Q29" s="13"/>
      <c r="R29" s="30">
        <f>IF(P$12=0,0,P29/P$12)</f>
        <v>0.80193615883619873</v>
      </c>
      <c r="S29" s="13"/>
      <c r="T29" s="34">
        <f>+T25-T27</f>
        <v>0</v>
      </c>
      <c r="U29" s="13"/>
      <c r="V29" s="30">
        <f>IF(T$12=0,0,T29/T$12)</f>
        <v>0</v>
      </c>
      <c r="W29" s="15"/>
      <c r="X29" s="34">
        <f>P29-T29</f>
        <v>224668.66999999998</v>
      </c>
      <c r="Y29" s="15"/>
      <c r="Z29" s="30">
        <f>IF(T29=0,0,X29/T29)</f>
        <v>0</v>
      </c>
    </row>
    <row r="30" spans="1:26" ht="15.75" thickTop="1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5</v>
      </c>
      <c r="C32" s="25"/>
      <c r="D32" s="35">
        <f>SUM(D29:D31)</f>
        <v>36282.89</v>
      </c>
      <c r="E32" s="13"/>
      <c r="F32" s="31">
        <f>IF(D$12=0,0,D32/D$12)</f>
        <v>0.72593438099916074</v>
      </c>
      <c r="G32" s="13"/>
      <c r="H32" s="35">
        <f>SUM(H29:H31)</f>
        <v>0</v>
      </c>
      <c r="I32" s="13"/>
      <c r="J32" s="31">
        <f>IF(H$12=0,0,H32/H$12)</f>
        <v>0</v>
      </c>
      <c r="K32" s="15"/>
      <c r="L32" s="35">
        <f>+D32-H32</f>
        <v>36282.89</v>
      </c>
      <c r="M32" s="15"/>
      <c r="N32" s="31">
        <f>IF(H32=0,0,L32/H32)</f>
        <v>0</v>
      </c>
      <c r="O32" s="26"/>
      <c r="P32" s="35">
        <f>SUM(P29:P31)</f>
        <v>224668.66999999998</v>
      </c>
      <c r="Q32" s="13"/>
      <c r="R32" s="31">
        <f>IF(P$12=0,0,P32/P$12)</f>
        <v>0.80193615883619873</v>
      </c>
      <c r="S32" s="13"/>
      <c r="T32" s="35">
        <f>SUM(T29:T31)</f>
        <v>0</v>
      </c>
      <c r="U32" s="13"/>
      <c r="V32" s="31">
        <f>IF(T$12=0,0,T32/T$12)</f>
        <v>0</v>
      </c>
      <c r="W32" s="15"/>
      <c r="X32" s="35">
        <f>+P32-T32</f>
        <v>224668.66999999998</v>
      </c>
      <c r="Y32" s="15"/>
      <c r="Z32" s="31">
        <f>IF(T32=0,0,X32/T32)</f>
        <v>0</v>
      </c>
    </row>
    <row r="33" spans="1:24" ht="15.75" thickTop="1" x14ac:dyDescent="0.25">
      <c r="A33" s="9"/>
      <c r="C33" s="9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3">
        <v>44267.672174652776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2" t="s">
        <v>314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A36" s="9"/>
      <c r="B36" s="57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4" x14ac:dyDescent="0.25"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47.55</v>
      </c>
      <c r="E18" s="20"/>
      <c r="F18" s="33">
        <f t="shared" ref="F18:F27" si="0">IF(D$12=0,0,D18/D$12)</f>
        <v>0</v>
      </c>
      <c r="G18" s="20"/>
      <c r="H18" s="20">
        <f>SUM(OSRRefH22x_0)</f>
        <v>14393.621307692309</v>
      </c>
      <c r="I18" s="20"/>
      <c r="J18" s="33">
        <f t="shared" ref="J18:J27" si="1">IF(H$12=0,0,H18/H$12)</f>
        <v>0</v>
      </c>
      <c r="K18" s="4"/>
      <c r="L18" s="20">
        <f t="shared" ref="L18:L27" si="2">+D18-H18</f>
        <v>-14346.071307692309</v>
      </c>
      <c r="M18" s="4"/>
      <c r="N18" s="33">
        <f t="shared" ref="N18:N27" si="3">IF(H18=0,0,L18/H18)</f>
        <v>-0.99669645331195511</v>
      </c>
      <c r="O18" s="10"/>
      <c r="P18" s="20">
        <f>SUM(OSRRefP22x_0)</f>
        <v>3102.7400000000002</v>
      </c>
      <c r="Q18" s="20"/>
      <c r="R18" s="33">
        <f t="shared" ref="R18:R27" si="4">IF(P$12=0,0,P18/P$12)</f>
        <v>0</v>
      </c>
      <c r="S18" s="20"/>
      <c r="T18" s="20">
        <f>SUM(OSRRefT22x_0)</f>
        <v>128149.18644230768</v>
      </c>
      <c r="U18" s="20"/>
      <c r="V18" s="33">
        <f t="shared" ref="V18:V27" si="5">IF(T$12=0,0,T18/T$12)</f>
        <v>0</v>
      </c>
      <c r="W18" s="4"/>
      <c r="X18" s="20">
        <f t="shared" ref="X18:X27" si="6">+P18-T18</f>
        <v>-125046.44644230767</v>
      </c>
      <c r="Y18" s="4"/>
      <c r="Z18" s="33">
        <f t="shared" ref="Z18:Z27" si="7">IF(T18=0,0,X18/T18)</f>
        <v>-0.97578806322428857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37078.994134615423</v>
      </c>
      <c r="U19" s="1"/>
      <c r="V19" s="5">
        <f t="shared" si="5"/>
        <v>0</v>
      </c>
      <c r="W19" s="1"/>
      <c r="X19" s="1">
        <f t="shared" si="6"/>
        <v>-34600.26413461542</v>
      </c>
      <c r="Y19" s="1"/>
      <c r="Z19" s="5">
        <f t="shared" si="7"/>
        <v>-0.93315002044011863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847.12823076923098</v>
      </c>
      <c r="I20" s="2"/>
      <c r="J20" s="6">
        <f t="shared" si="1"/>
        <v>0</v>
      </c>
      <c r="K20" s="2"/>
      <c r="L20" s="7">
        <f t="shared" si="2"/>
        <v>-847.12823076923098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7412.3720192307755</v>
      </c>
      <c r="U20" s="2"/>
      <c r="V20" s="6">
        <f t="shared" si="5"/>
        <v>0</v>
      </c>
      <c r="W20" s="2"/>
      <c r="X20" s="7">
        <f t="shared" si="6"/>
        <v>-7412.3720192307755</v>
      </c>
      <c r="Y20" s="2"/>
      <c r="Z20" s="6">
        <f t="shared" si="7"/>
        <v>-1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36.528461538461499</v>
      </c>
      <c r="I21" s="2"/>
      <c r="J21" s="6">
        <f t="shared" si="1"/>
        <v>0</v>
      </c>
      <c r="K21" s="2"/>
      <c r="L21" s="7">
        <f t="shared" si="2"/>
        <v>-36.528461538461499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319.62403846153819</v>
      </c>
      <c r="U21" s="2"/>
      <c r="V21" s="6">
        <f t="shared" si="5"/>
        <v>0</v>
      </c>
      <c r="W21" s="2"/>
      <c r="X21" s="7">
        <f t="shared" si="6"/>
        <v>-319.62403846153819</v>
      </c>
      <c r="Y21" s="2"/>
      <c r="Z21" s="6">
        <f t="shared" si="7"/>
        <v>-1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11080</v>
      </c>
      <c r="U22" s="2"/>
      <c r="V22" s="6">
        <f t="shared" si="5"/>
        <v>0</v>
      </c>
      <c r="W22" s="2"/>
      <c r="X22" s="7">
        <f t="shared" si="6"/>
        <v>-9211.7999999999993</v>
      </c>
      <c r="Y22" s="2"/>
      <c r="Z22" s="6">
        <f t="shared" si="7"/>
        <v>-0.83138989169675082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28.78</v>
      </c>
      <c r="I23" s="2"/>
      <c r="J23" s="6">
        <f t="shared" si="1"/>
        <v>0</v>
      </c>
      <c r="K23" s="2"/>
      <c r="L23" s="7">
        <f t="shared" si="2"/>
        <v>-28.78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251.82499999999999</v>
      </c>
      <c r="U23" s="2"/>
      <c r="V23" s="6">
        <f t="shared" si="5"/>
        <v>0</v>
      </c>
      <c r="W23" s="2"/>
      <c r="X23" s="7">
        <f t="shared" si="6"/>
        <v>-251.82499999999999</v>
      </c>
      <c r="Y23" s="2"/>
      <c r="Z23" s="6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951.95384615384592</v>
      </c>
      <c r="I24" s="2"/>
      <c r="J24" s="6">
        <f t="shared" si="1"/>
        <v>0</v>
      </c>
      <c r="K24" s="2"/>
      <c r="L24" s="7">
        <f t="shared" si="2"/>
        <v>-951.95384615384592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8329.5961538461597</v>
      </c>
      <c r="U24" s="2"/>
      <c r="V24" s="6">
        <f t="shared" si="5"/>
        <v>0</v>
      </c>
      <c r="W24" s="2"/>
      <c r="X24" s="7">
        <f t="shared" si="6"/>
        <v>-7719.06615384616</v>
      </c>
      <c r="Y24" s="2"/>
      <c r="Z24" s="6">
        <f t="shared" si="7"/>
        <v>-0.9267035293520095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1106.9230769230799</v>
      </c>
      <c r="I26" s="2"/>
      <c r="J26" s="6">
        <f t="shared" si="1"/>
        <v>0</v>
      </c>
      <c r="K26" s="2"/>
      <c r="L26" s="7">
        <f t="shared" si="2"/>
        <v>-1106.9230769230799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9685.5769230769511</v>
      </c>
      <c r="U26" s="2"/>
      <c r="V26" s="6">
        <f t="shared" si="5"/>
        <v>0</v>
      </c>
      <c r="W26" s="2"/>
      <c r="X26" s="7">
        <f t="shared" si="6"/>
        <v>-9685.5769230769511</v>
      </c>
      <c r="Y26" s="2"/>
      <c r="Z26" s="6">
        <f t="shared" si="7"/>
        <v>-1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87170.192307692254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-87170.192307692254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9962.3076923076896</v>
      </c>
      <c r="I29" s="2"/>
      <c r="J29" s="6">
        <f t="shared" si="9"/>
        <v>0</v>
      </c>
      <c r="K29" s="2"/>
      <c r="L29" s="7">
        <f t="shared" si="10"/>
        <v>-9962.3076923076896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87170.192307692254</v>
      </c>
      <c r="U29" s="2"/>
      <c r="V29" s="6">
        <f t="shared" si="13"/>
        <v>0</v>
      </c>
      <c r="W29" s="2"/>
      <c r="X29" s="7">
        <f t="shared" si="14"/>
        <v>-87170.192307692254</v>
      </c>
      <c r="Y29" s="2"/>
      <c r="Z29" s="6">
        <f t="shared" si="15"/>
        <v>-1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25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7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8" customFormat="1" outlineLevel="1" collapsed="1" x14ac:dyDescent="0.25">
      <c r="A41" s="29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7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8" customFormat="1" outlineLevel="1" collapsed="1" x14ac:dyDescent="0.25">
      <c r="A44" s="29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11.55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-13.45</v>
      </c>
      <c r="M44" s="1"/>
      <c r="N44" s="5">
        <f t="shared" ref="N44:N49" si="27">IF(H44=0,0,L44/H44)</f>
        <v>-0.53799999999999992</v>
      </c>
      <c r="O44" s="14"/>
      <c r="P44" s="1">
        <f>SUM(OSRRefP22_4x_0)</f>
        <v>-2.99</v>
      </c>
      <c r="Q44" s="1"/>
      <c r="R44" s="5">
        <f t="shared" ref="R44:R49" si="28">IF(P$12=0,0,P44/P$12)</f>
        <v>0</v>
      </c>
      <c r="S44" s="1"/>
      <c r="T44" s="1">
        <f>SUM(OSRRefT22_4x_0)</f>
        <v>200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-202.99</v>
      </c>
      <c r="Y44" s="1"/>
      <c r="Z44" s="5">
        <f t="shared" ref="Z44:Z49" si="31">IF(T44=0,0,X44/T44)</f>
        <v>-1.01495</v>
      </c>
    </row>
    <row r="45" spans="1:26" s="24" customFormat="1" hidden="1" outlineLevel="2" x14ac:dyDescent="0.25">
      <c r="A45" s="27"/>
      <c r="B45" s="11" t="str">
        <f>CONCATENATE("          ", "6241", " - ", "OFFICE EXPENSE")</f>
        <v xml:space="preserve">          6241 - OFFICE EXPENSE</v>
      </c>
      <c r="C45" s="11"/>
      <c r="D45" s="7">
        <v>11.55</v>
      </c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-13.45</v>
      </c>
      <c r="M45" s="2"/>
      <c r="N45" s="6">
        <f t="shared" si="27"/>
        <v>-0.53799999999999992</v>
      </c>
      <c r="O45" s="11"/>
      <c r="P45" s="7">
        <v>-2.99</v>
      </c>
      <c r="Q45" s="2"/>
      <c r="R45" s="6">
        <f t="shared" si="28"/>
        <v>0</v>
      </c>
      <c r="S45" s="2"/>
      <c r="T45" s="7">
        <v>200</v>
      </c>
      <c r="U45" s="2"/>
      <c r="V45" s="6">
        <f t="shared" si="29"/>
        <v>0</v>
      </c>
      <c r="W45" s="2"/>
      <c r="X45" s="7">
        <f t="shared" si="30"/>
        <v>-202.99</v>
      </c>
      <c r="Y45" s="2"/>
      <c r="Z45" s="6">
        <f t="shared" si="31"/>
        <v>-1.01495</v>
      </c>
    </row>
    <row r="46" spans="1:26" s="28" customFormat="1" outlineLevel="1" collapsed="1" x14ac:dyDescent="0.25">
      <c r="A46" s="29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36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-0.28000000000000003</v>
      </c>
      <c r="O46" s="14"/>
      <c r="P46" s="1">
        <f>SUM(OSRRefP22_5x_0)</f>
        <v>627</v>
      </c>
      <c r="Q46" s="1"/>
      <c r="R46" s="5">
        <f t="shared" si="28"/>
        <v>0</v>
      </c>
      <c r="S46" s="1"/>
      <c r="T46" s="1">
        <f>SUM(OSRRefT22_5x_0)</f>
        <v>700</v>
      </c>
      <c r="U46" s="1"/>
      <c r="V46" s="5">
        <f t="shared" si="29"/>
        <v>0</v>
      </c>
      <c r="W46" s="1"/>
      <c r="X46" s="1">
        <f t="shared" si="30"/>
        <v>-73</v>
      </c>
      <c r="Y46" s="1"/>
      <c r="Z46" s="5">
        <f t="shared" si="31"/>
        <v>-0.10428571428571429</v>
      </c>
    </row>
    <row r="47" spans="1:26" s="24" customFormat="1" hidden="1" outlineLevel="2" x14ac:dyDescent="0.25">
      <c r="A47" s="27"/>
      <c r="B47" s="11" t="str">
        <f>CONCATENATE("          ", "6309", " - ", "TELEPHONE")</f>
        <v xml:space="preserve">          6309 - TELEPHONE</v>
      </c>
      <c r="C47" s="11"/>
      <c r="D47" s="7">
        <v>36</v>
      </c>
      <c r="E47" s="2"/>
      <c r="F47" s="6">
        <f t="shared" si="24"/>
        <v>0</v>
      </c>
      <c r="G47" s="2"/>
      <c r="H47" s="7">
        <v>50</v>
      </c>
      <c r="I47" s="2"/>
      <c r="J47" s="6">
        <f t="shared" si="25"/>
        <v>0</v>
      </c>
      <c r="K47" s="2"/>
      <c r="L47" s="7">
        <f t="shared" si="26"/>
        <v>-14</v>
      </c>
      <c r="M47" s="2"/>
      <c r="N47" s="6">
        <f t="shared" si="27"/>
        <v>-0.28000000000000003</v>
      </c>
      <c r="O47" s="11"/>
      <c r="P47" s="7">
        <v>627</v>
      </c>
      <c r="Q47" s="2"/>
      <c r="R47" s="6">
        <f t="shared" si="28"/>
        <v>0</v>
      </c>
      <c r="S47" s="2"/>
      <c r="T47" s="7">
        <v>700</v>
      </c>
      <c r="U47" s="2"/>
      <c r="V47" s="6">
        <f t="shared" si="29"/>
        <v>0</v>
      </c>
      <c r="W47" s="2"/>
      <c r="X47" s="7">
        <f t="shared" si="30"/>
        <v>-73</v>
      </c>
      <c r="Y47" s="2"/>
      <c r="Z47" s="6">
        <f t="shared" si="31"/>
        <v>-0.10428571428571429</v>
      </c>
    </row>
    <row r="48" spans="1:26" s="28" customFormat="1" outlineLevel="1" collapsed="1" x14ac:dyDescent="0.25">
      <c r="A48" s="29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7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58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6" t="s">
        <v>0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6050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-6050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40275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-40275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22">
        <f t="shared" si="32"/>
        <v>0</v>
      </c>
      <c r="G52" s="2"/>
      <c r="H52" s="2">
        <v>3180</v>
      </c>
      <c r="I52" s="2"/>
      <c r="J52" s="22">
        <f t="shared" si="33"/>
        <v>0</v>
      </c>
      <c r="K52" s="2"/>
      <c r="L52" s="2">
        <f t="shared" si="34"/>
        <v>-3180</v>
      </c>
      <c r="M52" s="2"/>
      <c r="N52" s="22">
        <f t="shared" si="35"/>
        <v>-1</v>
      </c>
      <c r="O52" s="11"/>
      <c r="P52" s="2">
        <f t="shared" ref="P52:P54" si="41">0</f>
        <v>0</v>
      </c>
      <c r="Q52" s="2"/>
      <c r="R52" s="22">
        <f t="shared" si="36"/>
        <v>0</v>
      </c>
      <c r="S52" s="2"/>
      <c r="T52" s="2">
        <v>16672</v>
      </c>
      <c r="U52" s="2"/>
      <c r="V52" s="22">
        <f t="shared" si="37"/>
        <v>0</v>
      </c>
      <c r="W52" s="2"/>
      <c r="X52" s="2">
        <f t="shared" si="38"/>
        <v>-16672</v>
      </c>
      <c r="Y52" s="2"/>
      <c r="Z52" s="22">
        <f t="shared" si="39"/>
        <v>-1</v>
      </c>
    </row>
    <row r="53" spans="1:26" s="24" customFormat="1" hidden="1" outlineLevel="1" x14ac:dyDescent="0.2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1686</v>
      </c>
      <c r="I53" s="2"/>
      <c r="J53" s="22">
        <f t="shared" si="33"/>
        <v>0</v>
      </c>
      <c r="K53" s="2"/>
      <c r="L53" s="2">
        <f t="shared" si="34"/>
        <v>-1686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15473</v>
      </c>
      <c r="U53" s="2"/>
      <c r="V53" s="22">
        <f t="shared" si="37"/>
        <v>0</v>
      </c>
      <c r="W53" s="2"/>
      <c r="X53" s="2">
        <f t="shared" si="38"/>
        <v>-15473</v>
      </c>
      <c r="Y53" s="2"/>
      <c r="Z53" s="22">
        <f t="shared" si="39"/>
        <v>-1</v>
      </c>
    </row>
    <row r="54" spans="1:26" s="24" customFormat="1" hidden="1" outlineLevel="1" x14ac:dyDescent="0.25">
      <c r="A54" s="51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22">
        <f t="shared" si="32"/>
        <v>0</v>
      </c>
      <c r="G54" s="2"/>
      <c r="H54" s="2">
        <v>1184</v>
      </c>
      <c r="I54" s="2"/>
      <c r="J54" s="22">
        <f t="shared" si="33"/>
        <v>0</v>
      </c>
      <c r="K54" s="2"/>
      <c r="L54" s="2">
        <f t="shared" si="34"/>
        <v>-1184</v>
      </c>
      <c r="M54" s="2"/>
      <c r="N54" s="22">
        <f t="shared" si="35"/>
        <v>-1</v>
      </c>
      <c r="O54" s="11"/>
      <c r="P54" s="2">
        <f t="shared" si="41"/>
        <v>0</v>
      </c>
      <c r="Q54" s="2"/>
      <c r="R54" s="22">
        <f t="shared" si="36"/>
        <v>0</v>
      </c>
      <c r="S54" s="2"/>
      <c r="T54" s="2">
        <v>8130</v>
      </c>
      <c r="U54" s="2"/>
      <c r="V54" s="22">
        <f t="shared" si="37"/>
        <v>0</v>
      </c>
      <c r="W54" s="2"/>
      <c r="X54" s="2">
        <f t="shared" si="38"/>
        <v>-8130</v>
      </c>
      <c r="Y54" s="2"/>
      <c r="Z54" s="22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3</v>
      </c>
      <c r="C56" s="25"/>
      <c r="D56" s="19">
        <f>+D16-D18+D51</f>
        <v>-47.55</v>
      </c>
      <c r="E56" s="13"/>
      <c r="F56" s="21">
        <f>IF(D$12=0,0,D56/D$12)</f>
        <v>0</v>
      </c>
      <c r="G56" s="13"/>
      <c r="H56" s="19">
        <f>+H16-H18+H51</f>
        <v>-8343.6213076923086</v>
      </c>
      <c r="I56" s="13"/>
      <c r="J56" s="21">
        <f>IF(H$12=0,0,H56/H$12)</f>
        <v>0</v>
      </c>
      <c r="K56" s="15"/>
      <c r="L56" s="19">
        <f>+D56-H56</f>
        <v>8296.0713076923093</v>
      </c>
      <c r="M56" s="15"/>
      <c r="N56" s="21">
        <f>IF(H56=0,0,L56/H56)</f>
        <v>-0.99430103569583617</v>
      </c>
      <c r="O56" s="26"/>
      <c r="P56" s="19">
        <f>+P16-P18+P51</f>
        <v>-3102.7400000000002</v>
      </c>
      <c r="Q56" s="13"/>
      <c r="R56" s="21">
        <f>IF(P$12=0,0,P56/P$12)</f>
        <v>0</v>
      </c>
      <c r="S56" s="13"/>
      <c r="T56" s="19">
        <f>+T16-T18+T51</f>
        <v>-87874.186442307677</v>
      </c>
      <c r="U56" s="13"/>
      <c r="V56" s="21">
        <f>IF(T$12=0,0,T56/T$12)</f>
        <v>0</v>
      </c>
      <c r="W56" s="15"/>
      <c r="X56" s="19">
        <f>+P56-T56</f>
        <v>84771.446442307672</v>
      </c>
      <c r="Y56" s="15"/>
      <c r="Z56" s="21">
        <f>IF(T56=0,0,X56/T56)</f>
        <v>-0.96469110980575556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4</v>
      </c>
      <c r="C60" s="25"/>
      <c r="D60" s="34">
        <f>+D56-D58</f>
        <v>-47.55</v>
      </c>
      <c r="E60" s="13"/>
      <c r="F60" s="30">
        <f>IF(D$12=0,0,D60/D$12)</f>
        <v>0</v>
      </c>
      <c r="G60" s="13"/>
      <c r="H60" s="34">
        <f>+H56-H58</f>
        <v>-8343.6213076923086</v>
      </c>
      <c r="I60" s="13"/>
      <c r="J60" s="30">
        <f>IF(H$12=0,0,H60/H$12)</f>
        <v>0</v>
      </c>
      <c r="K60" s="15"/>
      <c r="L60" s="34">
        <f>D60-H60</f>
        <v>8296.0713076923093</v>
      </c>
      <c r="M60" s="15"/>
      <c r="N60" s="30">
        <f>IF(H60=0,0,L60/H60)</f>
        <v>-0.99430103569583617</v>
      </c>
      <c r="O60" s="26"/>
      <c r="P60" s="34">
        <f>+P56-P58</f>
        <v>-3102.7400000000002</v>
      </c>
      <c r="Q60" s="13"/>
      <c r="R60" s="30">
        <f>IF(P$12=0,0,P60/P$12)</f>
        <v>0</v>
      </c>
      <c r="S60" s="13"/>
      <c r="T60" s="34">
        <f>+T56-T58</f>
        <v>-87874.186442307677</v>
      </c>
      <c r="U60" s="13"/>
      <c r="V60" s="30">
        <f>IF(T$12=0,0,T60/T$12)</f>
        <v>0</v>
      </c>
      <c r="W60" s="15"/>
      <c r="X60" s="34">
        <f>P60-T60</f>
        <v>84771.446442307672</v>
      </c>
      <c r="Y60" s="15"/>
      <c r="Z60" s="30">
        <f>IF(T60=0,0,X60/T60)</f>
        <v>-0.96469110980575556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5</v>
      </c>
      <c r="C63" s="25"/>
      <c r="D63" s="35">
        <f>SUM(D60:D62)</f>
        <v>-47.55</v>
      </c>
      <c r="E63" s="13"/>
      <c r="F63" s="31">
        <f>IF(D$12=0,0,D63/D$12)</f>
        <v>0</v>
      </c>
      <c r="G63" s="13"/>
      <c r="H63" s="35">
        <f>SUM(H60:H62)</f>
        <v>-8343.6213076923086</v>
      </c>
      <c r="I63" s="13"/>
      <c r="J63" s="31">
        <f>IF(H$12=0,0,H63/H$12)</f>
        <v>0</v>
      </c>
      <c r="K63" s="15"/>
      <c r="L63" s="35">
        <f>+D63-H63</f>
        <v>8296.0713076923093</v>
      </c>
      <c r="M63" s="15"/>
      <c r="N63" s="31">
        <f>IF(H63=0,0,L63/H63)</f>
        <v>-0.99430103569583617</v>
      </c>
      <c r="O63" s="26"/>
      <c r="P63" s="35">
        <f>SUM(P60:P62)</f>
        <v>-3102.7400000000002</v>
      </c>
      <c r="Q63" s="13"/>
      <c r="R63" s="31">
        <f>IF(P$12=0,0,P63/P$12)</f>
        <v>0</v>
      </c>
      <c r="S63" s="13"/>
      <c r="T63" s="35">
        <f>SUM(T60:T62)</f>
        <v>-87874.186442307677</v>
      </c>
      <c r="U63" s="13"/>
      <c r="V63" s="31">
        <f>IF(T$12=0,0,T63/T$12)</f>
        <v>0</v>
      </c>
      <c r="W63" s="15"/>
      <c r="X63" s="35">
        <f>+P63-T63</f>
        <v>84771.446442307672</v>
      </c>
      <c r="Y63" s="15"/>
      <c r="Z63" s="31">
        <f>IF(T63=0,0,X63/T63)</f>
        <v>-0.96469110980575556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53">
        <v>44267.672197106484</v>
      </c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62" t="s">
        <v>314</v>
      </c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A67" s="9"/>
      <c r="B67" s="57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4" x14ac:dyDescent="0.25"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680.33</v>
      </c>
      <c r="E18" s="20"/>
      <c r="F18" s="33">
        <f t="shared" ref="F18:F26" si="0">IF(D$12=0,0,D18/D$12)</f>
        <v>0</v>
      </c>
      <c r="G18" s="20"/>
      <c r="H18" s="20">
        <f>SUM(OSRRefH22x_0)</f>
        <v>479</v>
      </c>
      <c r="I18" s="20"/>
      <c r="J18" s="33">
        <f t="shared" ref="J18:J26" si="1">IF(H$12=0,0,H18/H$12)</f>
        <v>0</v>
      </c>
      <c r="K18" s="4"/>
      <c r="L18" s="20">
        <f t="shared" ref="L18:L26" si="2">+D18-H18</f>
        <v>201.33000000000004</v>
      </c>
      <c r="M18" s="4"/>
      <c r="N18" s="33">
        <f t="shared" ref="N18:N26" si="3">IF(H18=0,0,L18/H18)</f>
        <v>0.42031315240083517</v>
      </c>
      <c r="O18" s="10"/>
      <c r="P18" s="20">
        <f>SUM(OSRRefP22x_0)</f>
        <v>4940.21</v>
      </c>
      <c r="Q18" s="20"/>
      <c r="R18" s="33">
        <f t="shared" ref="R18:R26" si="4">IF(P$12=0,0,P18/P$12)</f>
        <v>0</v>
      </c>
      <c r="S18" s="20"/>
      <c r="T18" s="20">
        <f>SUM(OSRRefT22x_0)</f>
        <v>3832</v>
      </c>
      <c r="U18" s="20"/>
      <c r="V18" s="33">
        <f t="shared" ref="V18:V26" si="5">IF(T$12=0,0,T18/T$12)</f>
        <v>0</v>
      </c>
      <c r="W18" s="4"/>
      <c r="X18" s="20">
        <f t="shared" ref="X18:X26" si="6">+P18-T18</f>
        <v>1108.21</v>
      </c>
      <c r="Y18" s="4"/>
      <c r="Z18" s="33">
        <f t="shared" ref="Z18:Z26" si="7">IF(T18=0,0,X18/T18)</f>
        <v>0.28919885177453031</v>
      </c>
    </row>
    <row r="19" spans="1:26" s="28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3834.32</v>
      </c>
      <c r="Q19" s="1"/>
      <c r="R19" s="5">
        <f t="shared" si="4"/>
        <v>0</v>
      </c>
      <c r="S19" s="1"/>
      <c r="T19" s="1">
        <f>SUM(OSRRefT22_0x_0)</f>
        <v>3832</v>
      </c>
      <c r="U19" s="1"/>
      <c r="V19" s="5">
        <f t="shared" si="5"/>
        <v>0</v>
      </c>
      <c r="W19" s="1"/>
      <c r="X19" s="1">
        <f t="shared" si="6"/>
        <v>2.3200000000001637</v>
      </c>
      <c r="Y19" s="1"/>
      <c r="Z19" s="5">
        <f t="shared" si="7"/>
        <v>6.054279749478506E-4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3834.32</v>
      </c>
      <c r="Q20" s="2"/>
      <c r="R20" s="6">
        <f t="shared" si="4"/>
        <v>0</v>
      </c>
      <c r="S20" s="2"/>
      <c r="T20" s="7">
        <v>3832</v>
      </c>
      <c r="U20" s="2"/>
      <c r="V20" s="6">
        <f t="shared" si="5"/>
        <v>0</v>
      </c>
      <c r="W20" s="2"/>
      <c r="X20" s="7">
        <f t="shared" si="6"/>
        <v>2.3200000000001637</v>
      </c>
      <c r="Y20" s="2"/>
      <c r="Z20" s="6">
        <f t="shared" si="7"/>
        <v>6.054279749478506E-4</v>
      </c>
    </row>
    <row r="21" spans="1:26" s="28" customFormat="1" outlineLevel="1" collapsed="1" x14ac:dyDescent="0.25">
      <c r="A21" s="29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523.54999999999995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523.54999999999995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523.54999999999995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523.54999999999995</v>
      </c>
      <c r="Y22" s="2"/>
      <c r="Z22" s="6">
        <f t="shared" si="7"/>
        <v>0</v>
      </c>
    </row>
    <row r="23" spans="1:26" s="28" customFormat="1" outlineLevel="1" collapsed="1" x14ac:dyDescent="0.25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8" customFormat="1" outlineLevel="1" collapsed="1" x14ac:dyDescent="0.25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201.04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201.04</v>
      </c>
      <c r="M25" s="1"/>
      <c r="N25" s="5">
        <f t="shared" si="3"/>
        <v>0</v>
      </c>
      <c r="O25" s="14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1" t="str">
        <f>CONCATENATE("          ", "6309", " - ", "TELEPHONE")</f>
        <v xml:space="preserve">          6309 - TELEPHONE</v>
      </c>
      <c r="C26" s="11"/>
      <c r="D26" s="7">
        <v>201.04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201.04</v>
      </c>
      <c r="M26" s="2"/>
      <c r="N26" s="6">
        <f t="shared" si="3"/>
        <v>0</v>
      </c>
      <c r="O26" s="11"/>
      <c r="P26" s="7">
        <v>428.01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428.01</v>
      </c>
      <c r="Y26" s="2"/>
      <c r="Z26" s="6">
        <f t="shared" si="7"/>
        <v>0</v>
      </c>
    </row>
    <row r="27" spans="1:26" s="58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3</v>
      </c>
      <c r="C30" s="25"/>
      <c r="D30" s="19">
        <f>+D16-D18+D28</f>
        <v>-680.33</v>
      </c>
      <c r="E30" s="13"/>
      <c r="F30" s="21">
        <f>IF(D$12=0,0,D30/D$12)</f>
        <v>0</v>
      </c>
      <c r="G30" s="13"/>
      <c r="H30" s="19">
        <f>+H16-H18+H28</f>
        <v>-479</v>
      </c>
      <c r="I30" s="13"/>
      <c r="J30" s="21">
        <f>IF(H$12=0,0,H30/H$12)</f>
        <v>0</v>
      </c>
      <c r="K30" s="15"/>
      <c r="L30" s="19">
        <f>+D30-H30</f>
        <v>-201.33000000000004</v>
      </c>
      <c r="M30" s="15"/>
      <c r="N30" s="21">
        <f>IF(H30=0,0,L30/H30)</f>
        <v>0.42031315240083517</v>
      </c>
      <c r="O30" s="26"/>
      <c r="P30" s="19">
        <f>+P16-P18+P28</f>
        <v>-4940.21</v>
      </c>
      <c r="Q30" s="13"/>
      <c r="R30" s="21">
        <f>IF(P$12=0,0,P30/P$12)</f>
        <v>0</v>
      </c>
      <c r="S30" s="13"/>
      <c r="T30" s="19">
        <f>+T16-T18+T28</f>
        <v>-3832</v>
      </c>
      <c r="U30" s="13"/>
      <c r="V30" s="21">
        <f>IF(T$12=0,0,T30/T$12)</f>
        <v>0</v>
      </c>
      <c r="W30" s="15"/>
      <c r="X30" s="19">
        <f>+P30-T30</f>
        <v>-1108.21</v>
      </c>
      <c r="Y30" s="15"/>
      <c r="Z30" s="21">
        <f>IF(T30=0,0,X30/T30)</f>
        <v>0.28919885177453031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4</v>
      </c>
      <c r="C34" s="25"/>
      <c r="D34" s="34">
        <f>+D30-D32</f>
        <v>-680.33</v>
      </c>
      <c r="E34" s="13"/>
      <c r="F34" s="30">
        <f>IF(D$12=0,0,D34/D$12)</f>
        <v>0</v>
      </c>
      <c r="G34" s="13"/>
      <c r="H34" s="34">
        <f>+H30-H32</f>
        <v>-479</v>
      </c>
      <c r="I34" s="13"/>
      <c r="J34" s="30">
        <f>IF(H$12=0,0,H34/H$12)</f>
        <v>0</v>
      </c>
      <c r="K34" s="15"/>
      <c r="L34" s="34">
        <f>D34-H34</f>
        <v>-201.33000000000004</v>
      </c>
      <c r="M34" s="15"/>
      <c r="N34" s="30">
        <f>IF(H34=0,0,L34/H34)</f>
        <v>0.42031315240083517</v>
      </c>
      <c r="O34" s="26"/>
      <c r="P34" s="34">
        <f>+P30-P32</f>
        <v>-4940.21</v>
      </c>
      <c r="Q34" s="13"/>
      <c r="R34" s="30">
        <f>IF(P$12=0,0,P34/P$12)</f>
        <v>0</v>
      </c>
      <c r="S34" s="13"/>
      <c r="T34" s="34">
        <f>+T30-T32</f>
        <v>-3832</v>
      </c>
      <c r="U34" s="13"/>
      <c r="V34" s="30">
        <f>IF(T$12=0,0,T34/T$12)</f>
        <v>0</v>
      </c>
      <c r="W34" s="15"/>
      <c r="X34" s="34">
        <f>P34-T34</f>
        <v>-1108.21</v>
      </c>
      <c r="Y34" s="15"/>
      <c r="Z34" s="30">
        <f>IF(T34=0,0,X34/T34)</f>
        <v>0.28919885177453031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5</v>
      </c>
      <c r="C37" s="25"/>
      <c r="D37" s="35">
        <f>SUM(D34:D36)</f>
        <v>-680.33</v>
      </c>
      <c r="E37" s="13"/>
      <c r="F37" s="31">
        <f>IF(D$12=0,0,D37/D$12)</f>
        <v>0</v>
      </c>
      <c r="G37" s="13"/>
      <c r="H37" s="35">
        <f>SUM(H34:H36)</f>
        <v>-479</v>
      </c>
      <c r="I37" s="13"/>
      <c r="J37" s="31">
        <f>IF(H$12=0,0,H37/H$12)</f>
        <v>0</v>
      </c>
      <c r="K37" s="15"/>
      <c r="L37" s="35">
        <f>+D37-H37</f>
        <v>-201.33000000000004</v>
      </c>
      <c r="M37" s="15"/>
      <c r="N37" s="31">
        <f>IF(H37=0,0,L37/H37)</f>
        <v>0.42031315240083517</v>
      </c>
      <c r="O37" s="26"/>
      <c r="P37" s="35">
        <f>SUM(P34:P36)</f>
        <v>-4940.21</v>
      </c>
      <c r="Q37" s="13"/>
      <c r="R37" s="31">
        <f>IF(P$12=0,0,P37/P$12)</f>
        <v>0</v>
      </c>
      <c r="S37" s="13"/>
      <c r="T37" s="35">
        <f>SUM(T34:T36)</f>
        <v>-3832</v>
      </c>
      <c r="U37" s="13"/>
      <c r="V37" s="31">
        <f>IF(T$12=0,0,T37/T$12)</f>
        <v>0</v>
      </c>
      <c r="W37" s="15"/>
      <c r="X37" s="35">
        <f>+P37-T37</f>
        <v>-1108.21</v>
      </c>
      <c r="Y37" s="15"/>
      <c r="Z37" s="31">
        <f>IF(T37=0,0,X37/T37)</f>
        <v>0.28919885177453031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>
        <v>44267.672214039354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2" t="s">
        <v>314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7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1000.91</v>
      </c>
      <c r="E18" s="20"/>
      <c r="F18" s="33">
        <f t="shared" ref="F18:F24" si="0">IF(D$12=0,0,D18/D$12)</f>
        <v>0</v>
      </c>
      <c r="G18" s="20"/>
      <c r="H18" s="20">
        <f>SUM(OSRRefH22x_0)</f>
        <v>1001</v>
      </c>
      <c r="I18" s="20"/>
      <c r="J18" s="33">
        <f t="shared" ref="J18:J24" si="1">IF(H$12=0,0,H18/H$12)</f>
        <v>0</v>
      </c>
      <c r="K18" s="4"/>
      <c r="L18" s="20">
        <f t="shared" ref="L18:L24" si="2">+D18-H18</f>
        <v>-9.0000000000031832E-2</v>
      </c>
      <c r="M18" s="4"/>
      <c r="N18" s="33">
        <f t="shared" ref="N18:N24" si="3">IF(H18=0,0,L18/H18)</f>
        <v>-8.9910089910121704E-5</v>
      </c>
      <c r="O18" s="10"/>
      <c r="P18" s="20">
        <f>SUM(OSRRefP22x_0)</f>
        <v>11635.96</v>
      </c>
      <c r="Q18" s="20"/>
      <c r="R18" s="33">
        <f t="shared" ref="R18:R24" si="4">IF(P$12=0,0,P18/P$12)</f>
        <v>0</v>
      </c>
      <c r="S18" s="20"/>
      <c r="T18" s="20">
        <f>SUM(OSRRefT22x_0)</f>
        <v>8008</v>
      </c>
      <c r="U18" s="20"/>
      <c r="V18" s="33">
        <f t="shared" ref="V18:V24" si="5">IF(T$12=0,0,T18/T$12)</f>
        <v>0</v>
      </c>
      <c r="W18" s="4"/>
      <c r="X18" s="20">
        <f t="shared" ref="X18:X24" si="6">+P18-T18</f>
        <v>3627.9599999999991</v>
      </c>
      <c r="Y18" s="4"/>
      <c r="Z18" s="33">
        <f t="shared" ref="Z18:Z24" si="7">IF(T18=0,0,X18/T18)</f>
        <v>0.45304195804195796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1420.5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1420.5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171.54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171.54</v>
      </c>
      <c r="Y20" s="2"/>
      <c r="Z20" s="6">
        <f t="shared" si="7"/>
        <v>0</v>
      </c>
    </row>
    <row r="21" spans="1:26" s="24" customFormat="1" hidden="1" outlineLevel="2" x14ac:dyDescent="0.25">
      <c r="A21" s="27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>
        <v>699.3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699.3</v>
      </c>
      <c r="Y21" s="2"/>
      <c r="Z21" s="6">
        <f t="shared" si="7"/>
        <v>0</v>
      </c>
    </row>
    <row r="22" spans="1:26" s="24" customFormat="1" hidden="1" outlineLevel="2" x14ac:dyDescent="0.25">
      <c r="A22" s="27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355.22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355.22</v>
      </c>
      <c r="Y22" s="2"/>
      <c r="Z22" s="6">
        <f t="shared" si="7"/>
        <v>0</v>
      </c>
    </row>
    <row r="23" spans="1:26" s="24" customFormat="1" hidden="1" outlineLevel="2" x14ac:dyDescent="0.25">
      <c r="A23" s="27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>
        <v>88.46</v>
      </c>
      <c r="Q23" s="2"/>
      <c r="R23" s="6">
        <f t="shared" si="4"/>
        <v>0</v>
      </c>
      <c r="S23" s="2"/>
      <c r="T23" s="7"/>
      <c r="U23" s="2"/>
      <c r="V23" s="6">
        <f t="shared" si="5"/>
        <v>0</v>
      </c>
      <c r="W23" s="2"/>
      <c r="X23" s="7">
        <f t="shared" si="6"/>
        <v>88.46</v>
      </c>
      <c r="Y23" s="2"/>
      <c r="Z23" s="6">
        <f t="shared" si="7"/>
        <v>0</v>
      </c>
    </row>
    <row r="24" spans="1:26" s="24" customFormat="1" hidden="1" outlineLevel="2" x14ac:dyDescent="0.25">
      <c r="A24" s="27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105.98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105.98</v>
      </c>
      <c r="Y24" s="2"/>
      <c r="Z24" s="6">
        <f t="shared" si="7"/>
        <v>0</v>
      </c>
    </row>
    <row r="25" spans="1:26" s="28" customFormat="1" outlineLevel="1" collapsed="1" x14ac:dyDescent="0.25">
      <c r="A25" s="29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3" si="8">IF(D$12=0,0,D25/D$12)</f>
        <v>0</v>
      </c>
      <c r="G25" s="1"/>
      <c r="H25" s="1">
        <f>SUM(OSRRefH22_1x_0)</f>
        <v>0</v>
      </c>
      <c r="I25" s="1"/>
      <c r="J25" s="5">
        <f t="shared" ref="J25:J33" si="9">IF(H$12=0,0,H25/H$12)</f>
        <v>0</v>
      </c>
      <c r="K25" s="1"/>
      <c r="L25" s="1">
        <f t="shared" ref="L25:L33" si="10">+D25-H25</f>
        <v>0</v>
      </c>
      <c r="M25" s="1"/>
      <c r="N25" s="5">
        <f t="shared" ref="N25:N33" si="11">IF(H25=0,0,L25/H25)</f>
        <v>0</v>
      </c>
      <c r="O25" s="14"/>
      <c r="P25" s="1">
        <f>SUM(OSRRefP22_1x_0)</f>
        <v>1378.61</v>
      </c>
      <c r="Q25" s="1"/>
      <c r="R25" s="5">
        <f t="shared" ref="R25:R33" si="12">IF(P$12=0,0,P25/P$12)</f>
        <v>0</v>
      </c>
      <c r="S25" s="1"/>
      <c r="T25" s="1">
        <f>SUM(OSRRefT22_1x_0)</f>
        <v>0</v>
      </c>
      <c r="U25" s="1"/>
      <c r="V25" s="5">
        <f t="shared" ref="V25:V33" si="13">IF(T$12=0,0,T25/T$12)</f>
        <v>0</v>
      </c>
      <c r="W25" s="1"/>
      <c r="X25" s="1">
        <f t="shared" ref="X25:X33" si="14">+P25-T25</f>
        <v>1378.61</v>
      </c>
      <c r="Y25" s="1"/>
      <c r="Z25" s="5">
        <f t="shared" ref="Z25:Z33" si="15">IF(T25=0,0,X25/T25)</f>
        <v>0</v>
      </c>
    </row>
    <row r="26" spans="1:26" s="24" customFormat="1" hidden="1" outlineLevel="2" x14ac:dyDescent="0.25">
      <c r="A26" s="27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1378.61</v>
      </c>
      <c r="Q26" s="2"/>
      <c r="R26" s="6">
        <f t="shared" si="12"/>
        <v>0</v>
      </c>
      <c r="S26" s="2"/>
      <c r="T26" s="7"/>
      <c r="U26" s="2"/>
      <c r="V26" s="6">
        <f t="shared" si="13"/>
        <v>0</v>
      </c>
      <c r="W26" s="2"/>
      <c r="X26" s="7">
        <f t="shared" si="14"/>
        <v>1378.61</v>
      </c>
      <c r="Y26" s="2"/>
      <c r="Z26" s="6">
        <f t="shared" si="15"/>
        <v>0</v>
      </c>
    </row>
    <row r="27" spans="1:26" s="28" customFormat="1" outlineLevel="1" collapsed="1" x14ac:dyDescent="0.25">
      <c r="A27" s="29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8007.28</v>
      </c>
      <c r="Q27" s="1"/>
      <c r="R27" s="5">
        <f t="shared" si="12"/>
        <v>0</v>
      </c>
      <c r="S27" s="1"/>
      <c r="T27" s="1">
        <f>SUM(OSRRefT22_2x_0)</f>
        <v>8008</v>
      </c>
      <c r="U27" s="1"/>
      <c r="V27" s="5">
        <f t="shared" si="13"/>
        <v>0</v>
      </c>
      <c r="W27" s="1"/>
      <c r="X27" s="1">
        <f t="shared" si="14"/>
        <v>-0.72000000000025466</v>
      </c>
      <c r="Y27" s="1"/>
      <c r="Z27" s="5">
        <f t="shared" si="15"/>
        <v>-8.9910089910121704E-5</v>
      </c>
    </row>
    <row r="28" spans="1:26" s="24" customFormat="1" hidden="1" outlineLevel="2" x14ac:dyDescent="0.25">
      <c r="A28" s="27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1000.91</v>
      </c>
      <c r="E28" s="2"/>
      <c r="F28" s="6">
        <f t="shared" si="8"/>
        <v>0</v>
      </c>
      <c r="G28" s="2"/>
      <c r="H28" s="7">
        <v>1001</v>
      </c>
      <c r="I28" s="2"/>
      <c r="J28" s="6">
        <f t="shared" si="9"/>
        <v>0</v>
      </c>
      <c r="K28" s="2"/>
      <c r="L28" s="7">
        <f t="shared" si="10"/>
        <v>-9.0000000000031832E-2</v>
      </c>
      <c r="M28" s="2"/>
      <c r="N28" s="6">
        <f t="shared" si="11"/>
        <v>-8.9910089910121704E-5</v>
      </c>
      <c r="O28" s="11"/>
      <c r="P28" s="7">
        <v>8007.28</v>
      </c>
      <c r="Q28" s="2"/>
      <c r="R28" s="6">
        <f t="shared" si="12"/>
        <v>0</v>
      </c>
      <c r="S28" s="2"/>
      <c r="T28" s="7">
        <v>8008</v>
      </c>
      <c r="U28" s="2"/>
      <c r="V28" s="6">
        <f t="shared" si="13"/>
        <v>0</v>
      </c>
      <c r="W28" s="2"/>
      <c r="X28" s="7">
        <f t="shared" si="14"/>
        <v>-0.72000000000025466</v>
      </c>
      <c r="Y28" s="2"/>
      <c r="Z28" s="6">
        <f t="shared" si="15"/>
        <v>-8.9910089910121704E-5</v>
      </c>
    </row>
    <row r="29" spans="1:26" s="28" customFormat="1" outlineLevel="1" collapsed="1" x14ac:dyDescent="0.25">
      <c r="A29" s="29"/>
      <c r="B29" s="14" t="str">
        <f>CONCATENATE("     ","General                                           ")</f>
        <v xml:space="preserve">     General               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455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455</v>
      </c>
      <c r="Y29" s="1"/>
      <c r="Z29" s="5">
        <f t="shared" si="15"/>
        <v>0</v>
      </c>
    </row>
    <row r="30" spans="1:26" s="24" customFormat="1" hidden="1" outlineLevel="2" x14ac:dyDescent="0.25">
      <c r="A30" s="27"/>
      <c r="B30" s="11" t="str">
        <f>CONCATENATE("          ", "6279", " - ", "GENERAL EXPENSE")</f>
        <v xml:space="preserve">          6279 - GENERAL EXPENSE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455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455</v>
      </c>
      <c r="Y30" s="2"/>
      <c r="Z30" s="6">
        <f t="shared" si="15"/>
        <v>0</v>
      </c>
    </row>
    <row r="31" spans="1:26" s="28" customFormat="1" outlineLevel="1" collapsed="1" x14ac:dyDescent="0.25">
      <c r="A31" s="29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242.03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242.03</v>
      </c>
      <c r="Y31" s="1"/>
      <c r="Z31" s="5">
        <f t="shared" si="15"/>
        <v>0</v>
      </c>
    </row>
    <row r="32" spans="1:26" s="24" customFormat="1" hidden="1" outlineLevel="2" x14ac:dyDescent="0.25">
      <c r="A32" s="27"/>
      <c r="B32" s="11" t="str">
        <f>CONCATENATE("          ", "6373", " - ", "MAINTENANCE CONTRACTS")</f>
        <v xml:space="preserve">          6373 - MAINTENANCE CONTRACTS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235.8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235.8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"6375", " - ", "OUTSIDE REPAIRS &amp; MAINTENANCE")</f>
        <v xml:space="preserve">          6375 - OUTSIDE REPAIRS &amp; MAINTENANCE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6.23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6.23</v>
      </c>
      <c r="Y33" s="2"/>
      <c r="Z33" s="6">
        <f t="shared" si="15"/>
        <v>0</v>
      </c>
    </row>
    <row r="34" spans="1:26" s="28" customFormat="1" outlineLevel="1" collapsed="1" x14ac:dyDescent="0.25">
      <c r="A34" s="29"/>
      <c r="B34" s="14" t="str">
        <f>CONCATENATE("     ","Telephone/Data Lines                              ")</f>
        <v xml:space="preserve">     Telephone/Data Lines                              </v>
      </c>
      <c r="C34" s="14"/>
      <c r="D34" s="1">
        <f>SUM(OSRRefD22_5x_0)</f>
        <v>0</v>
      </c>
      <c r="E34" s="1"/>
      <c r="F34" s="5">
        <f t="shared" ref="F34:F35" si="16">IF(D$12=0,0,D34/D$12)</f>
        <v>0</v>
      </c>
      <c r="G34" s="1"/>
      <c r="H34" s="1">
        <f>SUM(OSRRefH22_5x_0)</f>
        <v>0</v>
      </c>
      <c r="I34" s="1"/>
      <c r="J34" s="5">
        <f t="shared" ref="J34:J35" si="17">IF(H$12=0,0,H34/H$12)</f>
        <v>0</v>
      </c>
      <c r="K34" s="1"/>
      <c r="L34" s="1">
        <f t="shared" ref="L34:L35" si="18">+D34-H34</f>
        <v>0</v>
      </c>
      <c r="M34" s="1"/>
      <c r="N34" s="5">
        <f t="shared" ref="N34:N35" si="19">IF(H34=0,0,L34/H34)</f>
        <v>0</v>
      </c>
      <c r="O34" s="14"/>
      <c r="P34" s="1">
        <f>SUM(OSRRefP22_5x_0)</f>
        <v>132.54</v>
      </c>
      <c r="Q34" s="1"/>
      <c r="R34" s="5">
        <f t="shared" ref="R34:R35" si="20">IF(P$12=0,0,P34/P$12)</f>
        <v>0</v>
      </c>
      <c r="S34" s="1"/>
      <c r="T34" s="1">
        <f>SUM(OSRRefT22_5x_0)</f>
        <v>0</v>
      </c>
      <c r="U34" s="1"/>
      <c r="V34" s="5">
        <f t="shared" ref="V34:V35" si="21">IF(T$12=0,0,T34/T$12)</f>
        <v>0</v>
      </c>
      <c r="W34" s="1"/>
      <c r="X34" s="1">
        <f t="shared" ref="X34:X35" si="22">+P34-T34</f>
        <v>132.54</v>
      </c>
      <c r="Y34" s="1"/>
      <c r="Z34" s="5">
        <f t="shared" ref="Z34:Z35" si="23">IF(T34=0,0,X34/T34)</f>
        <v>0</v>
      </c>
    </row>
    <row r="35" spans="1:26" s="24" customFormat="1" hidden="1" outlineLevel="2" x14ac:dyDescent="0.25">
      <c r="A35" s="27"/>
      <c r="B35" s="11" t="str">
        <f>CONCATENATE("          ", "6309", " - ", "TELEPHONE")</f>
        <v xml:space="preserve">          6309 - TELEPHONE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132.54</v>
      </c>
      <c r="Q35" s="2"/>
      <c r="R35" s="6">
        <f t="shared" si="20"/>
        <v>0</v>
      </c>
      <c r="S35" s="2"/>
      <c r="T35" s="7"/>
      <c r="U35" s="2"/>
      <c r="V35" s="6">
        <f t="shared" si="21"/>
        <v>0</v>
      </c>
      <c r="W35" s="2"/>
      <c r="X35" s="7">
        <f t="shared" si="22"/>
        <v>132.54</v>
      </c>
      <c r="Y35" s="2"/>
      <c r="Z35" s="6">
        <f t="shared" si="23"/>
        <v>0</v>
      </c>
    </row>
    <row r="36" spans="1:26" s="58" customFormat="1" x14ac:dyDescent="0.25">
      <c r="A36" s="36"/>
      <c r="B36" s="36"/>
      <c r="C36" s="36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0</v>
      </c>
      <c r="C37" s="10"/>
      <c r="D37" s="4">
        <f>SUM(0)</f>
        <v>0</v>
      </c>
      <c r="E37" s="4"/>
      <c r="F37" s="12">
        <f>IF(D$12=0,0,D37/D$12)</f>
        <v>0</v>
      </c>
      <c r="G37" s="4"/>
      <c r="H37" s="4">
        <f>SUM(0)</f>
        <v>0</v>
      </c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>
        <f>SUM(0)</f>
        <v>0</v>
      </c>
      <c r="Q37" s="4"/>
      <c r="R37" s="12">
        <f>IF(P$12=0,0,P37/P$12)</f>
        <v>0</v>
      </c>
      <c r="S37" s="4"/>
      <c r="T37" s="4">
        <f>SUM(0)</f>
        <v>0</v>
      </c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5" t="s">
        <v>3</v>
      </c>
      <c r="C39" s="25"/>
      <c r="D39" s="19">
        <f>+D16-D18+D37</f>
        <v>-1000.91</v>
      </c>
      <c r="E39" s="13"/>
      <c r="F39" s="21">
        <f>IF(D$12=0,0,D39/D$12)</f>
        <v>0</v>
      </c>
      <c r="G39" s="13"/>
      <c r="H39" s="19">
        <f>+H16-H18+H37</f>
        <v>-1001</v>
      </c>
      <c r="I39" s="13"/>
      <c r="J39" s="21">
        <f>IF(H$12=0,0,H39/H$12)</f>
        <v>0</v>
      </c>
      <c r="K39" s="15"/>
      <c r="L39" s="19">
        <f>+D39-H39</f>
        <v>9.0000000000031832E-2</v>
      </c>
      <c r="M39" s="15"/>
      <c r="N39" s="21">
        <f>IF(H39=0,0,L39/H39)</f>
        <v>-8.9910089910121704E-5</v>
      </c>
      <c r="O39" s="26"/>
      <c r="P39" s="19">
        <f>+P16-P18+P37</f>
        <v>-11635.96</v>
      </c>
      <c r="Q39" s="13"/>
      <c r="R39" s="21">
        <f>IF(P$12=0,0,P39/P$12)</f>
        <v>0</v>
      </c>
      <c r="S39" s="13"/>
      <c r="T39" s="19">
        <f>+T16-T18+T37</f>
        <v>-8008</v>
      </c>
      <c r="U39" s="13"/>
      <c r="V39" s="21">
        <f>IF(T$12=0,0,T39/T$12)</f>
        <v>0</v>
      </c>
      <c r="W39" s="15"/>
      <c r="X39" s="19">
        <f>+P39-T39</f>
        <v>-3627.9599999999991</v>
      </c>
      <c r="Y39" s="15"/>
      <c r="Z39" s="21">
        <f>IF(T39=0,0,X39/T39)</f>
        <v>0.45304195804195796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52"/>
      <c r="B41" s="10" t="s">
        <v>14</v>
      </c>
      <c r="C41" s="10"/>
      <c r="D41" s="4"/>
      <c r="E41" s="4"/>
      <c r="F41" s="12">
        <f>IF(D$12=0,0,D41/D$12)</f>
        <v>0</v>
      </c>
      <c r="G41" s="4"/>
      <c r="H41" s="4"/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/>
      <c r="Q41" s="4"/>
      <c r="R41" s="12">
        <f>IF(P$12=0,0,P41/P$12)</f>
        <v>0</v>
      </c>
      <c r="S41" s="4"/>
      <c r="T41" s="4"/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5" t="s">
        <v>4</v>
      </c>
      <c r="C43" s="25"/>
      <c r="D43" s="34">
        <f>+D39-D41</f>
        <v>-1000.91</v>
      </c>
      <c r="E43" s="13"/>
      <c r="F43" s="30">
        <f>IF(D$12=0,0,D43/D$12)</f>
        <v>0</v>
      </c>
      <c r="G43" s="13"/>
      <c r="H43" s="34">
        <f>+H39-H41</f>
        <v>-1001</v>
      </c>
      <c r="I43" s="13"/>
      <c r="J43" s="30">
        <f>IF(H$12=0,0,H43/H$12)</f>
        <v>0</v>
      </c>
      <c r="K43" s="15"/>
      <c r="L43" s="34">
        <f>D43-H43</f>
        <v>9.0000000000031832E-2</v>
      </c>
      <c r="M43" s="15"/>
      <c r="N43" s="30">
        <f>IF(H43=0,0,L43/H43)</f>
        <v>-8.9910089910121704E-5</v>
      </c>
      <c r="O43" s="26"/>
      <c r="P43" s="34">
        <f>+P39-P41</f>
        <v>-11635.96</v>
      </c>
      <c r="Q43" s="13"/>
      <c r="R43" s="30">
        <f>IF(P$12=0,0,P43/P$12)</f>
        <v>0</v>
      </c>
      <c r="S43" s="13"/>
      <c r="T43" s="34">
        <f>+T39-T41</f>
        <v>-8008</v>
      </c>
      <c r="U43" s="13"/>
      <c r="V43" s="30">
        <f>IF(T$12=0,0,T43/T$12)</f>
        <v>0</v>
      </c>
      <c r="W43" s="15"/>
      <c r="X43" s="34">
        <f>P43-T43</f>
        <v>-3627.9599999999991</v>
      </c>
      <c r="Y43" s="15"/>
      <c r="Z43" s="30">
        <f>IF(T43=0,0,X43/T43)</f>
        <v>0.45304195804195796</v>
      </c>
    </row>
    <row r="44" spans="1:26" ht="15.75" thickTop="1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.75" thickBot="1" x14ac:dyDescent="0.3">
      <c r="A46" s="10"/>
      <c r="B46" s="25" t="s">
        <v>5</v>
      </c>
      <c r="C46" s="25"/>
      <c r="D46" s="35">
        <f>SUM(D43:D45)</f>
        <v>-1000.91</v>
      </c>
      <c r="E46" s="13"/>
      <c r="F46" s="31">
        <f>IF(D$12=0,0,D46/D$12)</f>
        <v>0</v>
      </c>
      <c r="G46" s="13"/>
      <c r="H46" s="35">
        <f>SUM(H43:H45)</f>
        <v>-1001</v>
      </c>
      <c r="I46" s="13"/>
      <c r="J46" s="31">
        <f>IF(H$12=0,0,H46/H$12)</f>
        <v>0</v>
      </c>
      <c r="K46" s="15"/>
      <c r="L46" s="35">
        <f>+D46-H46</f>
        <v>9.0000000000031832E-2</v>
      </c>
      <c r="M46" s="15"/>
      <c r="N46" s="31">
        <f>IF(H46=0,0,L46/H46)</f>
        <v>-8.9910089910121704E-5</v>
      </c>
      <c r="O46" s="26"/>
      <c r="P46" s="35">
        <f>SUM(P43:P45)</f>
        <v>-11635.96</v>
      </c>
      <c r="Q46" s="13"/>
      <c r="R46" s="31">
        <f>IF(P$12=0,0,P46/P$12)</f>
        <v>0</v>
      </c>
      <c r="S46" s="13"/>
      <c r="T46" s="35">
        <f>SUM(T43:T45)</f>
        <v>-8008</v>
      </c>
      <c r="U46" s="13"/>
      <c r="V46" s="31">
        <f>IF(T$12=0,0,T46/T$12)</f>
        <v>0</v>
      </c>
      <c r="W46" s="15"/>
      <c r="X46" s="35">
        <f>+P46-T46</f>
        <v>-3627.9599999999991</v>
      </c>
      <c r="Y46" s="15"/>
      <c r="Z46" s="31">
        <f>IF(T46=0,0,X46/T46)</f>
        <v>0.45304195804195796</v>
      </c>
    </row>
    <row r="47" spans="1:26" ht="15.75" thickTop="1" x14ac:dyDescent="0.25">
      <c r="A47" s="9"/>
      <c r="C47" s="9"/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3">
        <v>44267.67222685185</v>
      </c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62" t="s">
        <v>314</v>
      </c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A50" s="9"/>
      <c r="B50" s="57"/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  <row r="51" spans="1:24" x14ac:dyDescent="0.25"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6" t="s">
        <v>0</v>
      </c>
      <c r="C20" s="10"/>
      <c r="D20" s="4">
        <f>SUM(OSRRefD25x_0)</f>
        <v>1400.8799999999999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1400.8799999999999</v>
      </c>
      <c r="M20" s="4"/>
      <c r="N20" s="12">
        <f t="shared" ref="N20:N22" si="3">IF(H20=0,0,L20/H20)</f>
        <v>0</v>
      </c>
      <c r="O20" s="10"/>
      <c r="P20" s="4">
        <f>SUM(OSRRefP25x_0)</f>
        <v>15204.82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15204.82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>--364.79</f>
        <v>364.79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364.79</v>
      </c>
      <c r="M21" s="2"/>
      <c r="N21" s="22">
        <f t="shared" si="3"/>
        <v>0</v>
      </c>
      <c r="O21" s="11"/>
      <c r="P21" s="2">
        <f>--12066.61</f>
        <v>12066.61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12066.61</v>
      </c>
      <c r="Y21" s="2"/>
      <c r="Z21" s="22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>--1036.09</f>
        <v>1036.0899999999999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1036.0899999999999</v>
      </c>
      <c r="M22" s="2"/>
      <c r="N22" s="22">
        <f t="shared" si="3"/>
        <v>0</v>
      </c>
      <c r="O22" s="11"/>
      <c r="P22" s="2">
        <f>--3138.21</f>
        <v>3138.21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3138.21</v>
      </c>
      <c r="Y22" s="2"/>
      <c r="Z22" s="22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19">
        <f>+D16-D18+D20</f>
        <v>1400.8799999999999</v>
      </c>
      <c r="E24" s="13"/>
      <c r="F24" s="21">
        <f>IF(D$12=0,0,D24/D$12)</f>
        <v>0</v>
      </c>
      <c r="G24" s="13"/>
      <c r="H24" s="19">
        <f>+H16-H18+H20</f>
        <v>0</v>
      </c>
      <c r="I24" s="13"/>
      <c r="J24" s="21">
        <f>IF(H$12=0,0,H24/H$12)</f>
        <v>0</v>
      </c>
      <c r="K24" s="15"/>
      <c r="L24" s="19">
        <f>+D24-H24</f>
        <v>1400.8799999999999</v>
      </c>
      <c r="M24" s="15"/>
      <c r="N24" s="21">
        <f>IF(H24=0,0,L24/H24)</f>
        <v>0</v>
      </c>
      <c r="O24" s="26"/>
      <c r="P24" s="19">
        <f>+P16-P18+P20</f>
        <v>15204.82</v>
      </c>
      <c r="Q24" s="13"/>
      <c r="R24" s="21">
        <f>IF(P$12=0,0,P24/P$12)</f>
        <v>0</v>
      </c>
      <c r="S24" s="13"/>
      <c r="T24" s="19">
        <f>+T16-T18+T20</f>
        <v>0</v>
      </c>
      <c r="U24" s="13"/>
      <c r="V24" s="21">
        <f>IF(T$12=0,0,T24/T$12)</f>
        <v>0</v>
      </c>
      <c r="W24" s="15"/>
      <c r="X24" s="19">
        <f>+P24-T24</f>
        <v>15204.82</v>
      </c>
      <c r="Y24" s="15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4">
        <f>+D24-D26</f>
        <v>1400.8799999999999</v>
      </c>
      <c r="E28" s="13"/>
      <c r="F28" s="30">
        <f>IF(D$12=0,0,D28/D$12)</f>
        <v>0</v>
      </c>
      <c r="G28" s="13"/>
      <c r="H28" s="34">
        <f>+H24-H26</f>
        <v>0</v>
      </c>
      <c r="I28" s="13"/>
      <c r="J28" s="30">
        <f>IF(H$12=0,0,H28/H$12)</f>
        <v>0</v>
      </c>
      <c r="K28" s="15"/>
      <c r="L28" s="34">
        <f>D28-H28</f>
        <v>1400.8799999999999</v>
      </c>
      <c r="M28" s="15"/>
      <c r="N28" s="30">
        <f>IF(H28=0,0,L28/H28)</f>
        <v>0</v>
      </c>
      <c r="O28" s="26"/>
      <c r="P28" s="34">
        <f>+P24-P26</f>
        <v>15204.82</v>
      </c>
      <c r="Q28" s="13"/>
      <c r="R28" s="30">
        <f>IF(P$12=0,0,P28/P$12)</f>
        <v>0</v>
      </c>
      <c r="S28" s="13"/>
      <c r="T28" s="34">
        <f>+T24-T26</f>
        <v>0</v>
      </c>
      <c r="U28" s="13"/>
      <c r="V28" s="30">
        <f>IF(T$12=0,0,T28/T$12)</f>
        <v>0</v>
      </c>
      <c r="W28" s="15"/>
      <c r="X28" s="34">
        <f>P28-T28</f>
        <v>15204.82</v>
      </c>
      <c r="Y28" s="15"/>
      <c r="Z28" s="30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5">
        <f>SUM(D28:D30)</f>
        <v>1400.8799999999999</v>
      </c>
      <c r="E31" s="13"/>
      <c r="F31" s="31">
        <f>IF(D$12=0,0,D31/D$12)</f>
        <v>0</v>
      </c>
      <c r="G31" s="13"/>
      <c r="H31" s="35">
        <f>SUM(H28:H30)</f>
        <v>0</v>
      </c>
      <c r="I31" s="13"/>
      <c r="J31" s="31">
        <f>IF(H$12=0,0,H31/H$12)</f>
        <v>0</v>
      </c>
      <c r="K31" s="15"/>
      <c r="L31" s="35">
        <f>+D31-H31</f>
        <v>1400.8799999999999</v>
      </c>
      <c r="M31" s="15"/>
      <c r="N31" s="31">
        <f>IF(H31=0,0,L31/H31)</f>
        <v>0</v>
      </c>
      <c r="O31" s="26"/>
      <c r="P31" s="35">
        <f>SUM(P28:P30)</f>
        <v>15204.82</v>
      </c>
      <c r="Q31" s="13"/>
      <c r="R31" s="31">
        <f>IF(P$12=0,0,P31/P$12)</f>
        <v>0</v>
      </c>
      <c r="S31" s="13"/>
      <c r="T31" s="35">
        <f>SUM(T28:T30)</f>
        <v>0</v>
      </c>
      <c r="U31" s="13"/>
      <c r="V31" s="31">
        <f>IF(T$12=0,0,T31/T$12)</f>
        <v>0</v>
      </c>
      <c r="W31" s="15"/>
      <c r="X31" s="35">
        <f>+P31-T31</f>
        <v>15204.82</v>
      </c>
      <c r="Y31" s="15"/>
      <c r="Z31" s="31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3">
        <v>44267.672317592594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84642.36</v>
      </c>
      <c r="E12" s="4"/>
      <c r="F12" s="12"/>
      <c r="G12" s="4"/>
      <c r="H12" s="4">
        <f>SUM(OSRRefH13x_0)</f>
        <v>557493</v>
      </c>
      <c r="I12" s="4"/>
      <c r="J12" s="12"/>
      <c r="K12" s="4"/>
      <c r="L12" s="4">
        <f t="shared" ref="L12:L16" si="0">+D12-H12</f>
        <v>-472850.64</v>
      </c>
      <c r="M12" s="4"/>
      <c r="N12" s="12">
        <f t="shared" ref="N12:N16" si="1">IF(H12=0,0,L12/H12)</f>
        <v>-0.84817323266839229</v>
      </c>
      <c r="O12" s="10"/>
      <c r="P12" s="4">
        <f>SUM(OSRRefP13x_0)</f>
        <v>759393.36999999988</v>
      </c>
      <c r="Q12" s="4"/>
      <c r="R12" s="12"/>
      <c r="S12" s="4"/>
      <c r="T12" s="4">
        <f>SUM(OSRRefT13x_0)</f>
        <v>2645293</v>
      </c>
      <c r="U12" s="4"/>
      <c r="V12" s="12"/>
      <c r="W12" s="4"/>
      <c r="X12" s="4">
        <f t="shared" ref="X12:X16" si="2">+P12-T12</f>
        <v>-1885899.6300000001</v>
      </c>
      <c r="Y12" s="4"/>
      <c r="Z12" s="12">
        <f t="shared" ref="Z12:Z16" si="3">IF(T12=0,0,X12/T12)</f>
        <v>-0.71292655671791372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--180.69</f>
        <v>180.69</v>
      </c>
      <c r="E13" s="2"/>
      <c r="F13" s="22"/>
      <c r="G13" s="2"/>
      <c r="H13" s="2"/>
      <c r="I13" s="2"/>
      <c r="J13" s="22"/>
      <c r="K13" s="2"/>
      <c r="L13" s="2">
        <f t="shared" si="0"/>
        <v>180.69</v>
      </c>
      <c r="M13" s="2"/>
      <c r="N13" s="22">
        <f t="shared" si="1"/>
        <v>0</v>
      </c>
      <c r="O13" s="11"/>
      <c r="P13" s="2">
        <f>--760.21</f>
        <v>760.21</v>
      </c>
      <c r="Q13" s="2"/>
      <c r="R13" s="22"/>
      <c r="S13" s="2"/>
      <c r="T13" s="2"/>
      <c r="U13" s="2"/>
      <c r="V13" s="22"/>
      <c r="W13" s="2"/>
      <c r="X13" s="2">
        <f t="shared" si="2"/>
        <v>760.21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557493</v>
      </c>
      <c r="I14" s="2"/>
      <c r="J14" s="22"/>
      <c r="K14" s="2"/>
      <c r="L14" s="2">
        <f t="shared" si="0"/>
        <v>-557493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2645293</v>
      </c>
      <c r="U14" s="2"/>
      <c r="V14" s="22"/>
      <c r="W14" s="2"/>
      <c r="X14" s="2">
        <f t="shared" si="2"/>
        <v>-2645293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--78596.26</f>
        <v>78596.259999999995</v>
      </c>
      <c r="E15" s="2"/>
      <c r="F15" s="22"/>
      <c r="G15" s="2"/>
      <c r="H15" s="2"/>
      <c r="I15" s="2"/>
      <c r="J15" s="22"/>
      <c r="K15" s="2"/>
      <c r="L15" s="2">
        <f t="shared" si="0"/>
        <v>78596.259999999995</v>
      </c>
      <c r="M15" s="2"/>
      <c r="N15" s="22">
        <f t="shared" si="1"/>
        <v>0</v>
      </c>
      <c r="O15" s="11"/>
      <c r="P15" s="2">
        <f>--720798.59</f>
        <v>720798.59</v>
      </c>
      <c r="Q15" s="2"/>
      <c r="R15" s="22"/>
      <c r="S15" s="2"/>
      <c r="T15" s="2"/>
      <c r="U15" s="2"/>
      <c r="V15" s="22"/>
      <c r="W15" s="2"/>
      <c r="X15" s="2">
        <f t="shared" si="2"/>
        <v>720798.59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--5865.41</f>
        <v>5865.41</v>
      </c>
      <c r="E16" s="2"/>
      <c r="F16" s="22"/>
      <c r="G16" s="2"/>
      <c r="H16" s="2"/>
      <c r="I16" s="2"/>
      <c r="J16" s="22"/>
      <c r="K16" s="2"/>
      <c r="L16" s="2">
        <f t="shared" si="0"/>
        <v>5865.41</v>
      </c>
      <c r="M16" s="2"/>
      <c r="N16" s="22">
        <f t="shared" si="1"/>
        <v>0</v>
      </c>
      <c r="O16" s="11"/>
      <c r="P16" s="2">
        <f>--37834.57</f>
        <v>37834.57</v>
      </c>
      <c r="Q16" s="2"/>
      <c r="R16" s="22"/>
      <c r="S16" s="2"/>
      <c r="T16" s="2"/>
      <c r="U16" s="2"/>
      <c r="V16" s="22"/>
      <c r="W16" s="2"/>
      <c r="X16" s="2">
        <f t="shared" si="2"/>
        <v>37834.57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42241.950000000004</v>
      </c>
      <c r="E18" s="4"/>
      <c r="F18" s="12">
        <f t="shared" ref="F18:F21" si="4">IF(D$12=0,0,D18/D$12)</f>
        <v>0.49906394386923997</v>
      </c>
      <c r="G18" s="4"/>
      <c r="H18" s="4">
        <f>SUM(OSRRefH16x_0)</f>
        <v>146701</v>
      </c>
      <c r="I18" s="4"/>
      <c r="J18" s="12">
        <f t="shared" ref="J18:J21" si="5">IF(H$12=0,0,H18/H$12)</f>
        <v>0.26314411122650866</v>
      </c>
      <c r="K18" s="4"/>
      <c r="L18" s="4">
        <f t="shared" ref="L18:L21" si="6">+D18-H18</f>
        <v>-104459.04999999999</v>
      </c>
      <c r="M18" s="4"/>
      <c r="N18" s="12">
        <f t="shared" ref="N18:N21" si="7">IF(H18=0,0,L18/H18)</f>
        <v>-0.71205411006059938</v>
      </c>
      <c r="O18" s="10"/>
      <c r="P18" s="4">
        <f>SUM(OSRRefP16x_0)</f>
        <v>325089.33</v>
      </c>
      <c r="Q18" s="4"/>
      <c r="R18" s="12">
        <f t="shared" ref="R18:R21" si="8">IF(P$12=0,0,P18/P$12)</f>
        <v>0.42809081938653226</v>
      </c>
      <c r="S18" s="4"/>
      <c r="T18" s="4">
        <f>SUM(OSRRefT16x_0)</f>
        <v>718486</v>
      </c>
      <c r="U18" s="4"/>
      <c r="V18" s="12">
        <f t="shared" ref="V18:V21" si="9">IF(T$12=0,0,T18/T$12)</f>
        <v>0.27160923194519471</v>
      </c>
      <c r="W18" s="4"/>
      <c r="X18" s="4">
        <f t="shared" ref="X18:X21" si="10">+P18-T18</f>
        <v>-393396.67</v>
      </c>
      <c r="Y18" s="4"/>
      <c r="Z18" s="12">
        <f t="shared" ref="Z18:Z21" si="11">IF(T18=0,0,X18/T18)</f>
        <v>-0.54753560960130054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146701</v>
      </c>
      <c r="I19" s="2"/>
      <c r="J19" s="22">
        <f t="shared" si="5"/>
        <v>0.26314411122650866</v>
      </c>
      <c r="K19" s="2"/>
      <c r="L19" s="2">
        <f t="shared" si="6"/>
        <v>-146701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718486</v>
      </c>
      <c r="U19" s="2"/>
      <c r="V19" s="22">
        <f t="shared" si="9"/>
        <v>0.27160923194519471</v>
      </c>
      <c r="W19" s="2"/>
      <c r="X19" s="2">
        <f t="shared" si="10"/>
        <v>-718486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49319.950000000004</v>
      </c>
      <c r="E20" s="2"/>
      <c r="F20" s="22">
        <f t="shared" si="4"/>
        <v>0.58268637594698447</v>
      </c>
      <c r="G20" s="2"/>
      <c r="H20" s="2"/>
      <c r="I20" s="2"/>
      <c r="J20" s="22">
        <f t="shared" si="5"/>
        <v>0</v>
      </c>
      <c r="K20" s="2"/>
      <c r="L20" s="2">
        <f t="shared" si="6"/>
        <v>49319.950000000004</v>
      </c>
      <c r="M20" s="2"/>
      <c r="N20" s="22">
        <f t="shared" si="7"/>
        <v>0</v>
      </c>
      <c r="O20" s="11"/>
      <c r="P20" s="2">
        <v>334999.03000000003</v>
      </c>
      <c r="Q20" s="2"/>
      <c r="R20" s="22">
        <f t="shared" si="8"/>
        <v>0.44114031440648488</v>
      </c>
      <c r="S20" s="2"/>
      <c r="T20" s="2"/>
      <c r="U20" s="2"/>
      <c r="V20" s="22">
        <f t="shared" si="9"/>
        <v>0</v>
      </c>
      <c r="W20" s="2"/>
      <c r="X20" s="2">
        <f t="shared" si="10"/>
        <v>334999.03000000003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-7078</v>
      </c>
      <c r="E21" s="2"/>
      <c r="F21" s="22">
        <f t="shared" si="4"/>
        <v>-8.362243207774453E-2</v>
      </c>
      <c r="G21" s="2"/>
      <c r="H21" s="2"/>
      <c r="I21" s="2"/>
      <c r="J21" s="22">
        <f t="shared" si="5"/>
        <v>0</v>
      </c>
      <c r="K21" s="2"/>
      <c r="L21" s="2">
        <f t="shared" si="6"/>
        <v>-7078</v>
      </c>
      <c r="M21" s="2"/>
      <c r="N21" s="22">
        <f t="shared" si="7"/>
        <v>0</v>
      </c>
      <c r="O21" s="11"/>
      <c r="P21" s="2">
        <v>-9909.7000000000007</v>
      </c>
      <c r="Q21" s="2"/>
      <c r="R21" s="22">
        <f t="shared" si="8"/>
        <v>-1.3049495019952574E-2</v>
      </c>
      <c r="S21" s="2"/>
      <c r="T21" s="2"/>
      <c r="U21" s="2"/>
      <c r="V21" s="22">
        <f t="shared" si="9"/>
        <v>0</v>
      </c>
      <c r="W21" s="2"/>
      <c r="X21" s="2">
        <f t="shared" si="10"/>
        <v>-9909.7000000000007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19">
        <f>D12-D18</f>
        <v>42400.409999999996</v>
      </c>
      <c r="E23" s="13"/>
      <c r="F23" s="21">
        <f>IF(D$12=0,0,D23/D$12)</f>
        <v>0.50093605613075998</v>
      </c>
      <c r="G23" s="13"/>
      <c r="H23" s="19">
        <f>H12-H18</f>
        <v>410792</v>
      </c>
      <c r="I23" s="13"/>
      <c r="J23" s="21">
        <f>IF(H$12=0,0,H23/H$12)</f>
        <v>0.73685588877349129</v>
      </c>
      <c r="K23" s="15"/>
      <c r="L23" s="19">
        <f>+D23-H23</f>
        <v>-368391.59</v>
      </c>
      <c r="M23" s="15"/>
      <c r="N23" s="21">
        <f>IF(H23=0,0,L23/H23)</f>
        <v>-0.89678374944010597</v>
      </c>
      <c r="O23" s="26"/>
      <c r="P23" s="19">
        <f>P12-P18</f>
        <v>434304.03999999986</v>
      </c>
      <c r="Q23" s="13"/>
      <c r="R23" s="21">
        <f>IF(P$12=0,0,P23/P$12)</f>
        <v>0.57190918061346774</v>
      </c>
      <c r="S23" s="13"/>
      <c r="T23" s="19">
        <f>T12-T18</f>
        <v>1926807</v>
      </c>
      <c r="U23" s="13"/>
      <c r="V23" s="21">
        <f>IF(T$12=0,0,T23/T$12)</f>
        <v>0.72839076805480529</v>
      </c>
      <c r="W23" s="15"/>
      <c r="X23" s="19">
        <f>+P23-T23</f>
        <v>-1492502.9600000002</v>
      </c>
      <c r="Y23" s="15"/>
      <c r="Z23" s="21">
        <f>IF(T23=0,0,X23/T23)</f>
        <v>-0.77459909580980357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212057.02</v>
      </c>
      <c r="E25" s="20"/>
      <c r="F25" s="33">
        <f t="shared" ref="F25:F36" si="12">IF(D$12=0,0,D25/D$12)</f>
        <v>2.5053297190673796</v>
      </c>
      <c r="G25" s="20"/>
      <c r="H25" s="20">
        <f>SUM(OSRRefH22x_0)</f>
        <v>414648.30082537618</v>
      </c>
      <c r="I25" s="20"/>
      <c r="J25" s="33">
        <f t="shared" ref="J25:J36" si="13">IF(H$12=0,0,H25/H$12)</f>
        <v>0.7437731071517959</v>
      </c>
      <c r="K25" s="4"/>
      <c r="L25" s="20">
        <f t="shared" ref="L25:L36" si="14">+D25-H25</f>
        <v>-202591.28082537619</v>
      </c>
      <c r="M25" s="4"/>
      <c r="N25" s="33">
        <f t="shared" ref="N25:N36" si="15">IF(H25=0,0,L25/H25)</f>
        <v>-0.48858582182082766</v>
      </c>
      <c r="O25" s="10"/>
      <c r="P25" s="20">
        <f>SUM(OSRRefP22x_0)</f>
        <v>1797503.08</v>
      </c>
      <c r="Q25" s="20"/>
      <c r="R25" s="33">
        <f t="shared" ref="R25:R36" si="16">IF(P$12=0,0,P25/P$12)</f>
        <v>2.3670249846927165</v>
      </c>
      <c r="S25" s="20"/>
      <c r="T25" s="20">
        <f>SUM(OSRRefT22x_0)</f>
        <v>2914081.3387646037</v>
      </c>
      <c r="U25" s="20"/>
      <c r="V25" s="33">
        <f t="shared" ref="V25:V36" si="17">IF(T$12=0,0,T25/T$12)</f>
        <v>1.1016100442425862</v>
      </c>
      <c r="W25" s="4"/>
      <c r="X25" s="20">
        <f t="shared" ref="X25:X36" si="18">+P25-T25</f>
        <v>-1116578.2587646036</v>
      </c>
      <c r="Y25" s="4"/>
      <c r="Z25" s="33">
        <f t="shared" ref="Z25:Z36" si="19">IF(T25=0,0,X25/T25)</f>
        <v>-0.38316646962159473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75508.849999999991</v>
      </c>
      <c r="E26" s="1"/>
      <c r="F26" s="5">
        <f t="shared" si="12"/>
        <v>0.89209291895925391</v>
      </c>
      <c r="G26" s="1"/>
      <c r="H26" s="1">
        <f>SUM(OSRRefH22_0x_0)</f>
        <v>98595.490671914638</v>
      </c>
      <c r="I26" s="1"/>
      <c r="J26" s="5">
        <f t="shared" si="13"/>
        <v>0.17685511866860146</v>
      </c>
      <c r="K26" s="1"/>
      <c r="L26" s="1">
        <f t="shared" si="14"/>
        <v>-23086.640671914647</v>
      </c>
      <c r="M26" s="1"/>
      <c r="N26" s="5">
        <f t="shared" si="15"/>
        <v>-0.23415513746706246</v>
      </c>
      <c r="O26" s="14"/>
      <c r="P26" s="1">
        <f>SUM(OSRRefP22_0x_0)</f>
        <v>615277.82999999996</v>
      </c>
      <c r="Q26" s="1"/>
      <c r="R26" s="5">
        <f t="shared" si="16"/>
        <v>0.81022280981989614</v>
      </c>
      <c r="S26" s="1"/>
      <c r="T26" s="1">
        <f>SUM(OSRRefT22_0x_0)</f>
        <v>834243.85698806529</v>
      </c>
      <c r="U26" s="1"/>
      <c r="V26" s="5">
        <f t="shared" si="17"/>
        <v>0.31536916968670969</v>
      </c>
      <c r="W26" s="1"/>
      <c r="X26" s="1">
        <f t="shared" si="18"/>
        <v>-218966.02698806534</v>
      </c>
      <c r="Y26" s="1"/>
      <c r="Z26" s="5">
        <f t="shared" si="19"/>
        <v>-0.26247244753903876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7341.31</v>
      </c>
      <c r="E27" s="2"/>
      <c r="F27" s="6">
        <f t="shared" si="12"/>
        <v>8.6733285792125844E-2</v>
      </c>
      <c r="G27" s="2"/>
      <c r="H27" s="7">
        <v>10035.76913235692</v>
      </c>
      <c r="I27" s="2"/>
      <c r="J27" s="6">
        <f t="shared" si="13"/>
        <v>1.8001605638737921E-2</v>
      </c>
      <c r="K27" s="2"/>
      <c r="L27" s="7">
        <f t="shared" si="14"/>
        <v>-2694.4591323569193</v>
      </c>
      <c r="M27" s="2"/>
      <c r="N27" s="6">
        <f t="shared" si="15"/>
        <v>-0.26848556366941062</v>
      </c>
      <c r="O27" s="11"/>
      <c r="P27" s="7">
        <v>63720.99</v>
      </c>
      <c r="Q27" s="2"/>
      <c r="R27" s="6">
        <f t="shared" si="16"/>
        <v>8.3910384943181704E-2</v>
      </c>
      <c r="S27" s="2"/>
      <c r="T27" s="7">
        <v>86903.267798123052</v>
      </c>
      <c r="U27" s="2"/>
      <c r="V27" s="6">
        <f t="shared" si="17"/>
        <v>3.285203862034302E-2</v>
      </c>
      <c r="W27" s="2"/>
      <c r="X27" s="7">
        <f t="shared" si="18"/>
        <v>-23182.277798123054</v>
      </c>
      <c r="Y27" s="2"/>
      <c r="Z27" s="6">
        <f t="shared" si="19"/>
        <v>-0.26675956365617526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4706.38</v>
      </c>
      <c r="E28" s="2"/>
      <c r="F28" s="6">
        <f t="shared" si="12"/>
        <v>5.5603128268162653E-2</v>
      </c>
      <c r="G28" s="2"/>
      <c r="H28" s="7">
        <v>7563.1238215500007</v>
      </c>
      <c r="I28" s="2"/>
      <c r="J28" s="6">
        <f t="shared" si="13"/>
        <v>1.3566311723286213E-2</v>
      </c>
      <c r="K28" s="2"/>
      <c r="L28" s="7">
        <f t="shared" si="14"/>
        <v>-2856.7438215500006</v>
      </c>
      <c r="M28" s="2"/>
      <c r="N28" s="6">
        <f t="shared" si="15"/>
        <v>-0.37772009145349866</v>
      </c>
      <c r="O28" s="11"/>
      <c r="P28" s="7">
        <v>39694.879999999997</v>
      </c>
      <c r="Q28" s="2"/>
      <c r="R28" s="6">
        <f t="shared" si="16"/>
        <v>5.2271828499108441E-2</v>
      </c>
      <c r="S28" s="2"/>
      <c r="T28" s="7">
        <v>60269.648714550007</v>
      </c>
      <c r="U28" s="2"/>
      <c r="V28" s="6">
        <f t="shared" si="17"/>
        <v>2.2783732733784125E-2</v>
      </c>
      <c r="W28" s="2"/>
      <c r="X28" s="7">
        <f t="shared" si="18"/>
        <v>-20574.768714550009</v>
      </c>
      <c r="Y28" s="2"/>
      <c r="Z28" s="6">
        <f t="shared" si="19"/>
        <v>-0.34137860686722316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45413.64</v>
      </c>
      <c r="E29" s="2"/>
      <c r="F29" s="6">
        <f t="shared" si="12"/>
        <v>0.53653560699394487</v>
      </c>
      <c r="G29" s="2"/>
      <c r="H29" s="7">
        <v>59594.230769230795</v>
      </c>
      <c r="I29" s="2"/>
      <c r="J29" s="6">
        <f t="shared" si="13"/>
        <v>0.10689682340268092</v>
      </c>
      <c r="K29" s="2"/>
      <c r="L29" s="7">
        <f t="shared" si="14"/>
        <v>-14180.590769230796</v>
      </c>
      <c r="M29" s="2"/>
      <c r="N29" s="6">
        <f t="shared" si="15"/>
        <v>-0.23795240891929428</v>
      </c>
      <c r="O29" s="11"/>
      <c r="P29" s="7">
        <v>358419.23</v>
      </c>
      <c r="Q29" s="2"/>
      <c r="R29" s="6">
        <f t="shared" si="16"/>
        <v>0.47198098397935717</v>
      </c>
      <c r="S29" s="2"/>
      <c r="T29" s="7">
        <v>507045.76923076919</v>
      </c>
      <c r="U29" s="2"/>
      <c r="V29" s="6">
        <f t="shared" si="17"/>
        <v>0.19167849052289074</v>
      </c>
      <c r="W29" s="2"/>
      <c r="X29" s="7">
        <f t="shared" si="18"/>
        <v>-148626.53923076921</v>
      </c>
      <c r="Y29" s="2"/>
      <c r="Z29" s="6">
        <f t="shared" si="19"/>
        <v>-0.29312253104142472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288.32</v>
      </c>
      <c r="E30" s="2"/>
      <c r="F30" s="6">
        <f t="shared" si="12"/>
        <v>3.4063322430990819E-3</v>
      </c>
      <c r="G30" s="2"/>
      <c r="H30" s="7">
        <v>458.37114070000001</v>
      </c>
      <c r="I30" s="2"/>
      <c r="J30" s="6">
        <f t="shared" si="13"/>
        <v>8.2220071050219466E-4</v>
      </c>
      <c r="K30" s="2"/>
      <c r="L30" s="7">
        <f t="shared" si="14"/>
        <v>-170.05114070000002</v>
      </c>
      <c r="M30" s="2"/>
      <c r="N30" s="6">
        <f t="shared" si="15"/>
        <v>-0.37099006809265295</v>
      </c>
      <c r="O30" s="11"/>
      <c r="P30" s="7">
        <v>2489.6</v>
      </c>
      <c r="Q30" s="2"/>
      <c r="R30" s="6">
        <f t="shared" si="16"/>
        <v>3.2784062889566713E-3</v>
      </c>
      <c r="S30" s="2"/>
      <c r="T30" s="7">
        <v>3652.7059827000003</v>
      </c>
      <c r="U30" s="2"/>
      <c r="V30" s="6">
        <f t="shared" si="17"/>
        <v>1.3808322868960074E-3</v>
      </c>
      <c r="W30" s="2"/>
      <c r="X30" s="7">
        <f t="shared" si="18"/>
        <v>-1163.1059827000004</v>
      </c>
      <c r="Y30" s="2"/>
      <c r="Z30" s="6">
        <f t="shared" si="19"/>
        <v>-0.31842310555755649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3594.3</v>
      </c>
      <c r="E31" s="2"/>
      <c r="F31" s="6">
        <f t="shared" si="12"/>
        <v>4.2464553209527717E-2</v>
      </c>
      <c r="G31" s="2"/>
      <c r="H31" s="7">
        <v>4603.1433846153923</v>
      </c>
      <c r="I31" s="2"/>
      <c r="J31" s="6">
        <f t="shared" si="13"/>
        <v>8.2568631079051984E-3</v>
      </c>
      <c r="K31" s="2"/>
      <c r="L31" s="7">
        <f t="shared" si="14"/>
        <v>-1008.8433846153921</v>
      </c>
      <c r="M31" s="2"/>
      <c r="N31" s="6">
        <f t="shared" si="15"/>
        <v>-0.21916401474417341</v>
      </c>
      <c r="O31" s="11"/>
      <c r="P31" s="7">
        <v>32550.080000000002</v>
      </c>
      <c r="Q31" s="2"/>
      <c r="R31" s="6">
        <f t="shared" si="16"/>
        <v>4.2863265977684278E-2</v>
      </c>
      <c r="S31" s="2"/>
      <c r="T31" s="7">
        <v>40277.504615384678</v>
      </c>
      <c r="U31" s="2"/>
      <c r="V31" s="6">
        <f t="shared" si="17"/>
        <v>1.5226103352401673E-2</v>
      </c>
      <c r="W31" s="2"/>
      <c r="X31" s="7">
        <f t="shared" si="18"/>
        <v>-7727.4246153846761</v>
      </c>
      <c r="Y31" s="2"/>
      <c r="Z31" s="6">
        <f t="shared" si="19"/>
        <v>-0.191854601946543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1429.17</v>
      </c>
      <c r="E33" s="2"/>
      <c r="F33" s="6">
        <f t="shared" si="12"/>
        <v>1.6884808032290217E-2</v>
      </c>
      <c r="G33" s="2"/>
      <c r="H33" s="7"/>
      <c r="I33" s="2"/>
      <c r="J33" s="6">
        <f t="shared" si="13"/>
        <v>0</v>
      </c>
      <c r="K33" s="2"/>
      <c r="L33" s="7">
        <f t="shared" si="14"/>
        <v>1429.17</v>
      </c>
      <c r="M33" s="2"/>
      <c r="N33" s="6">
        <f t="shared" si="15"/>
        <v>0</v>
      </c>
      <c r="O33" s="11"/>
      <c r="P33" s="7">
        <v>11902.4</v>
      </c>
      <c r="Q33" s="2"/>
      <c r="R33" s="6">
        <f t="shared" si="16"/>
        <v>1.5673563228501719E-2</v>
      </c>
      <c r="S33" s="2"/>
      <c r="T33" s="7"/>
      <c r="U33" s="2"/>
      <c r="V33" s="6">
        <f t="shared" si="17"/>
        <v>0</v>
      </c>
      <c r="W33" s="2"/>
      <c r="X33" s="7">
        <f t="shared" si="18"/>
        <v>11902.4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5840.82</v>
      </c>
      <c r="E34" s="2"/>
      <c r="F34" s="6">
        <f t="shared" si="12"/>
        <v>6.9005873654751582E-2</v>
      </c>
      <c r="G34" s="2"/>
      <c r="H34" s="7">
        <v>6756.0878769230803</v>
      </c>
      <c r="I34" s="2"/>
      <c r="J34" s="6">
        <f t="shared" si="13"/>
        <v>1.2118695439984143E-2</v>
      </c>
      <c r="K34" s="2"/>
      <c r="L34" s="7">
        <f t="shared" si="14"/>
        <v>-915.26787692308062</v>
      </c>
      <c r="M34" s="2"/>
      <c r="N34" s="6">
        <f t="shared" si="15"/>
        <v>-0.13547305683358285</v>
      </c>
      <c r="O34" s="11"/>
      <c r="P34" s="7">
        <v>52454.61</v>
      </c>
      <c r="Q34" s="2"/>
      <c r="R34" s="6">
        <f t="shared" si="16"/>
        <v>6.9074358655514742E-2</v>
      </c>
      <c r="S34" s="2"/>
      <c r="T34" s="7">
        <v>59115.768923076925</v>
      </c>
      <c r="U34" s="2"/>
      <c r="V34" s="6">
        <f t="shared" si="17"/>
        <v>2.2347531605412679E-2</v>
      </c>
      <c r="W34" s="2"/>
      <c r="X34" s="7">
        <f t="shared" si="18"/>
        <v>-6661.1589230769241</v>
      </c>
      <c r="Y34" s="2"/>
      <c r="Z34" s="6">
        <f t="shared" si="19"/>
        <v>-0.11267989987146422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4148.87</v>
      </c>
      <c r="E35" s="2"/>
      <c r="F35" s="6">
        <f t="shared" si="12"/>
        <v>4.9016473548232825E-2</v>
      </c>
      <c r="G35" s="2"/>
      <c r="H35" s="7">
        <v>5909.7645465384603</v>
      </c>
      <c r="I35" s="2"/>
      <c r="J35" s="6">
        <f t="shared" si="13"/>
        <v>1.0600607624738715E-2</v>
      </c>
      <c r="K35" s="2"/>
      <c r="L35" s="7">
        <f t="shared" si="14"/>
        <v>-1760.8945465384604</v>
      </c>
      <c r="M35" s="2"/>
      <c r="N35" s="6">
        <f t="shared" si="15"/>
        <v>-0.29796357074324953</v>
      </c>
      <c r="O35" s="11"/>
      <c r="P35" s="7">
        <v>35024.700000000004</v>
      </c>
      <c r="Q35" s="2"/>
      <c r="R35" s="6">
        <f t="shared" si="16"/>
        <v>4.6121945994866943E-2</v>
      </c>
      <c r="S35" s="2"/>
      <c r="T35" s="7">
        <v>47579.19172346151</v>
      </c>
      <c r="U35" s="2"/>
      <c r="V35" s="6">
        <f t="shared" si="17"/>
        <v>1.798635981853863E-2</v>
      </c>
      <c r="W35" s="2"/>
      <c r="X35" s="7">
        <f t="shared" si="18"/>
        <v>-12554.491723461506</v>
      </c>
      <c r="Y35" s="2"/>
      <c r="Z35" s="6">
        <f t="shared" si="19"/>
        <v>-0.26386517443235236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2746.04</v>
      </c>
      <c r="E36" s="2"/>
      <c r="F36" s="6">
        <f t="shared" si="12"/>
        <v>3.2442857217119182E-2</v>
      </c>
      <c r="G36" s="2"/>
      <c r="H36" s="7">
        <v>3675</v>
      </c>
      <c r="I36" s="2"/>
      <c r="J36" s="6">
        <f t="shared" si="13"/>
        <v>6.5920110207661796E-3</v>
      </c>
      <c r="K36" s="2"/>
      <c r="L36" s="7">
        <f t="shared" si="14"/>
        <v>-928.96</v>
      </c>
      <c r="M36" s="2"/>
      <c r="N36" s="6">
        <f t="shared" si="15"/>
        <v>-0.25277823129251703</v>
      </c>
      <c r="O36" s="11"/>
      <c r="P36" s="7">
        <v>19021.34</v>
      </c>
      <c r="Q36" s="2"/>
      <c r="R36" s="6">
        <f t="shared" si="16"/>
        <v>2.5048072252724572E-2</v>
      </c>
      <c r="S36" s="2"/>
      <c r="T36" s="7">
        <v>29400</v>
      </c>
      <c r="U36" s="2"/>
      <c r="V36" s="6">
        <f t="shared" si="17"/>
        <v>1.1114080746442833E-2</v>
      </c>
      <c r="W36" s="2"/>
      <c r="X36" s="7">
        <f t="shared" si="18"/>
        <v>-10378.66</v>
      </c>
      <c r="Y36" s="2"/>
      <c r="Z36" s="6">
        <f t="shared" si="19"/>
        <v>-0.3530156462585034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97261.73</v>
      </c>
      <c r="E37" s="1"/>
      <c r="F37" s="5">
        <f t="shared" ref="F37:F47" si="20">IF(D$12=0,0,D37/D$12)</f>
        <v>1.1490904790461891</v>
      </c>
      <c r="G37" s="1"/>
      <c r="H37" s="1">
        <f>SUM(OSRRefH22_1x_0)</f>
        <v>164346.81015346153</v>
      </c>
      <c r="I37" s="1"/>
      <c r="J37" s="5">
        <f t="shared" ref="J37:J47" si="21">IF(H$12=0,0,H37/H$12)</f>
        <v>0.29479618605697566</v>
      </c>
      <c r="K37" s="1"/>
      <c r="L37" s="1">
        <f t="shared" ref="L37:L47" si="22">+D37-H37</f>
        <v>-67085.080153461531</v>
      </c>
      <c r="M37" s="1"/>
      <c r="N37" s="5">
        <f t="shared" ref="N37:N47" si="23">IF(H37=0,0,L37/H37)</f>
        <v>-0.40819216442850176</v>
      </c>
      <c r="O37" s="14"/>
      <c r="P37" s="1">
        <f>SUM(OSRRefP22_1x_0)</f>
        <v>845317.25</v>
      </c>
      <c r="Q37" s="1"/>
      <c r="R37" s="5">
        <f t="shared" ref="R37:R47" si="24">IF(P$12=0,0,P37/P$12)</f>
        <v>1.1131480513189103</v>
      </c>
      <c r="S37" s="1"/>
      <c r="T37" s="1">
        <f>SUM(OSRRefT22_1x_0)</f>
        <v>1302448.4817765383</v>
      </c>
      <c r="U37" s="1"/>
      <c r="V37" s="5">
        <f t="shared" ref="V37:V47" si="25">IF(T$12=0,0,T37/T$12)</f>
        <v>0.49236454403218788</v>
      </c>
      <c r="W37" s="1"/>
      <c r="X37" s="1">
        <f t="shared" ref="X37:X47" si="26">+P37-T37</f>
        <v>-457131.2317765383</v>
      </c>
      <c r="Y37" s="1"/>
      <c r="Z37" s="5">
        <f t="shared" ref="Z37:Z47" si="27">IF(T37=0,0,X37/T37)</f>
        <v>-0.35097835973750902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9034.5400000000009</v>
      </c>
      <c r="E38" s="2"/>
      <c r="F38" s="6">
        <f t="shared" si="20"/>
        <v>0.10673780835033429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9034.5400000000009</v>
      </c>
      <c r="M38" s="2"/>
      <c r="N38" s="6">
        <f t="shared" si="23"/>
        <v>0</v>
      </c>
      <c r="O38" s="11"/>
      <c r="P38" s="7">
        <v>73170.36</v>
      </c>
      <c r="Q38" s="2"/>
      <c r="R38" s="6">
        <f t="shared" si="24"/>
        <v>9.6353698742458097E-2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73170.36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28604.240000000002</v>
      </c>
      <c r="E39" s="2"/>
      <c r="F39" s="6">
        <f t="shared" si="20"/>
        <v>0.33794237306237684</v>
      </c>
      <c r="G39" s="2"/>
      <c r="H39" s="7">
        <v>48283.721538461541</v>
      </c>
      <c r="I39" s="2"/>
      <c r="J39" s="6">
        <f t="shared" si="21"/>
        <v>8.6608659729290841E-2</v>
      </c>
      <c r="K39" s="2"/>
      <c r="L39" s="7">
        <f t="shared" si="22"/>
        <v>-19679.481538461539</v>
      </c>
      <c r="M39" s="2"/>
      <c r="N39" s="6">
        <f t="shared" si="23"/>
        <v>-0.40758004792123126</v>
      </c>
      <c r="O39" s="11"/>
      <c r="P39" s="7">
        <v>231016.68</v>
      </c>
      <c r="Q39" s="2"/>
      <c r="R39" s="6">
        <f t="shared" si="24"/>
        <v>0.30421213711676209</v>
      </c>
      <c r="S39" s="2"/>
      <c r="T39" s="7">
        <v>422482.5634615384</v>
      </c>
      <c r="U39" s="2"/>
      <c r="V39" s="6">
        <f t="shared" si="25"/>
        <v>0.15971106545155428</v>
      </c>
      <c r="W39" s="2"/>
      <c r="X39" s="7">
        <f t="shared" si="26"/>
        <v>-191465.88346153841</v>
      </c>
      <c r="Y39" s="2"/>
      <c r="Z39" s="6">
        <f t="shared" si="27"/>
        <v>-0.45319239187718313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39161.4</v>
      </c>
      <c r="E41" s="2"/>
      <c r="F41" s="6">
        <f t="shared" si="20"/>
        <v>0.46266904656250135</v>
      </c>
      <c r="G41" s="2"/>
      <c r="H41" s="7">
        <v>71874.449919999999</v>
      </c>
      <c r="I41" s="2"/>
      <c r="J41" s="6">
        <f t="shared" si="21"/>
        <v>0.12892439890725085</v>
      </c>
      <c r="K41" s="2"/>
      <c r="L41" s="7">
        <f t="shared" si="22"/>
        <v>-32713.049919999998</v>
      </c>
      <c r="M41" s="2"/>
      <c r="N41" s="6">
        <f t="shared" si="23"/>
        <v>-0.45514156917251297</v>
      </c>
      <c r="O41" s="11"/>
      <c r="P41" s="7">
        <v>352059.09</v>
      </c>
      <c r="Q41" s="2"/>
      <c r="R41" s="6">
        <f t="shared" si="24"/>
        <v>0.46360569358144393</v>
      </c>
      <c r="S41" s="2"/>
      <c r="T41" s="7">
        <v>602725.43679999991</v>
      </c>
      <c r="U41" s="2"/>
      <c r="V41" s="6">
        <f t="shared" si="25"/>
        <v>0.22784827117449746</v>
      </c>
      <c r="W41" s="2"/>
      <c r="X41" s="7">
        <f t="shared" si="26"/>
        <v>-250666.34679999988</v>
      </c>
      <c r="Y41" s="2"/>
      <c r="Z41" s="6">
        <f t="shared" si="27"/>
        <v>-0.41588811670342285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9662.36</v>
      </c>
      <c r="E42" s="2"/>
      <c r="F42" s="6">
        <f t="shared" si="20"/>
        <v>0.11415513461581175</v>
      </c>
      <c r="G42" s="2"/>
      <c r="H42" s="7">
        <v>9712.7006949999995</v>
      </c>
      <c r="I42" s="2"/>
      <c r="J42" s="6">
        <f t="shared" si="21"/>
        <v>1.7422103407576418E-2</v>
      </c>
      <c r="K42" s="2"/>
      <c r="L42" s="7">
        <f t="shared" si="22"/>
        <v>-50.340694999998959</v>
      </c>
      <c r="M42" s="2"/>
      <c r="N42" s="6">
        <f t="shared" si="23"/>
        <v>-5.1829760414540361E-3</v>
      </c>
      <c r="O42" s="11"/>
      <c r="P42" s="7">
        <v>80406.040000000008</v>
      </c>
      <c r="Q42" s="2"/>
      <c r="R42" s="6">
        <f t="shared" si="24"/>
        <v>0.10588193573509869</v>
      </c>
      <c r="S42" s="2"/>
      <c r="T42" s="7">
        <v>62384.822014999998</v>
      </c>
      <c r="U42" s="2"/>
      <c r="V42" s="6">
        <f t="shared" si="25"/>
        <v>2.3583331606366477E-2</v>
      </c>
      <c r="W42" s="2"/>
      <c r="X42" s="7">
        <f t="shared" si="26"/>
        <v>18021.21798500001</v>
      </c>
      <c r="Y42" s="2"/>
      <c r="Z42" s="6">
        <f t="shared" si="27"/>
        <v>0.28887183457327059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>
        <v>609</v>
      </c>
      <c r="E43" s="2"/>
      <c r="F43" s="6">
        <f t="shared" si="20"/>
        <v>7.1949789679777356E-3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609</v>
      </c>
      <c r="M43" s="2"/>
      <c r="N43" s="6">
        <f t="shared" si="23"/>
        <v>0</v>
      </c>
      <c r="O43" s="11"/>
      <c r="P43" s="7">
        <v>609</v>
      </c>
      <c r="Q43" s="2"/>
      <c r="R43" s="6">
        <f t="shared" si="24"/>
        <v>8.0195590856949419E-4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609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10190.19</v>
      </c>
      <c r="E44" s="2"/>
      <c r="F44" s="6">
        <f t="shared" si="20"/>
        <v>0.12039113748718727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10190.19</v>
      </c>
      <c r="M44" s="2"/>
      <c r="N44" s="6">
        <f t="shared" si="23"/>
        <v>0</v>
      </c>
      <c r="O44" s="11"/>
      <c r="P44" s="7">
        <v>97425.2</v>
      </c>
      <c r="Q44" s="2"/>
      <c r="R44" s="6">
        <f t="shared" si="24"/>
        <v>0.12829345613064808</v>
      </c>
      <c r="S44" s="2"/>
      <c r="T44" s="7">
        <v>13860.33</v>
      </c>
      <c r="U44" s="2"/>
      <c r="V44" s="6">
        <f t="shared" si="25"/>
        <v>5.2396199589232646E-3</v>
      </c>
      <c r="W44" s="2"/>
      <c r="X44" s="7">
        <f t="shared" si="26"/>
        <v>83564.87</v>
      </c>
      <c r="Y44" s="2"/>
      <c r="Z44" s="6">
        <f t="shared" si="27"/>
        <v>6.0290678504768644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34475.938000000002</v>
      </c>
      <c r="I45" s="2"/>
      <c r="J45" s="6">
        <f t="shared" si="21"/>
        <v>6.1841024012857564E-2</v>
      </c>
      <c r="K45" s="2"/>
      <c r="L45" s="7">
        <f t="shared" si="22"/>
        <v>-34475.938000000002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1.3999174103929826E-2</v>
      </c>
      <c r="S45" s="2"/>
      <c r="T45" s="7">
        <v>200995.32949999999</v>
      </c>
      <c r="U45" s="2"/>
      <c r="V45" s="6">
        <f t="shared" si="25"/>
        <v>7.5982255840846363E-2</v>
      </c>
      <c r="W45" s="2"/>
      <c r="X45" s="7">
        <f t="shared" si="26"/>
        <v>-190364.44949999999</v>
      </c>
      <c r="Y45" s="2"/>
      <c r="Z45" s="6">
        <f t="shared" si="27"/>
        <v>-0.94710882075496183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2" si="28">IF(D$12=0,0,D48/D$12)</f>
        <v>0</v>
      </c>
      <c r="G48" s="1"/>
      <c r="H48" s="1">
        <f>SUM(OSRRefH22_2x_0)</f>
        <v>1169</v>
      </c>
      <c r="I48" s="1"/>
      <c r="J48" s="5">
        <f t="shared" ref="J48:J72" si="29">IF(H$12=0,0,H48/H$12)</f>
        <v>2.0968873151770515E-3</v>
      </c>
      <c r="K48" s="1"/>
      <c r="L48" s="1">
        <f t="shared" ref="L48:L72" si="30">+D48-H48</f>
        <v>-1169</v>
      </c>
      <c r="M48" s="1"/>
      <c r="N48" s="5">
        <f t="shared" ref="N48:N72" si="31">IF(H48=0,0,L48/H48)</f>
        <v>-1</v>
      </c>
      <c r="O48" s="14"/>
      <c r="P48" s="1">
        <f>SUM(OSRRefP22_2x_0)</f>
        <v>1445.17</v>
      </c>
      <c r="Q48" s="1"/>
      <c r="R48" s="5">
        <f t="shared" ref="R48:R72" si="32">IF(P$12=0,0,P48/P$12)</f>
        <v>1.9030584899628507E-3</v>
      </c>
      <c r="S48" s="1"/>
      <c r="T48" s="1">
        <f>SUM(OSRRefT22_2x_0)</f>
        <v>9452</v>
      </c>
      <c r="U48" s="1"/>
      <c r="V48" s="5">
        <f t="shared" ref="V48:V72" si="33">IF(T$12=0,0,T48/T$12)</f>
        <v>3.5731391569856345E-3</v>
      </c>
      <c r="W48" s="1"/>
      <c r="X48" s="1">
        <f t="shared" ref="X48:X72" si="34">+P48-T48</f>
        <v>-8006.83</v>
      </c>
      <c r="Y48" s="1"/>
      <c r="Z48" s="5">
        <f t="shared" ref="Z48:Z72" si="35">IF(T48=0,0,X48/T48)</f>
        <v>-0.84710431654676255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1169</v>
      </c>
      <c r="I49" s="2"/>
      <c r="J49" s="6">
        <f t="shared" si="29"/>
        <v>2.0968873151770515E-3</v>
      </c>
      <c r="K49" s="2"/>
      <c r="L49" s="7">
        <f t="shared" si="30"/>
        <v>-1169</v>
      </c>
      <c r="M49" s="2"/>
      <c r="N49" s="6">
        <f t="shared" si="31"/>
        <v>-1</v>
      </c>
      <c r="O49" s="11"/>
      <c r="P49" s="7">
        <v>1445.17</v>
      </c>
      <c r="Q49" s="2"/>
      <c r="R49" s="6">
        <f t="shared" si="32"/>
        <v>1.9030584899628507E-3</v>
      </c>
      <c r="S49" s="2"/>
      <c r="T49" s="7">
        <v>9452</v>
      </c>
      <c r="U49" s="2"/>
      <c r="V49" s="6">
        <f t="shared" si="33"/>
        <v>3.5731391569856345E-3</v>
      </c>
      <c r="W49" s="2"/>
      <c r="X49" s="7">
        <f t="shared" si="34"/>
        <v>-8006.83</v>
      </c>
      <c r="Y49" s="2"/>
      <c r="Z49" s="6">
        <f t="shared" si="35"/>
        <v>-0.84710431654676255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-16.2</v>
      </c>
      <c r="E50" s="1"/>
      <c r="F50" s="5">
        <f t="shared" si="28"/>
        <v>-1.913935291974373E-4</v>
      </c>
      <c r="G50" s="1"/>
      <c r="H50" s="1">
        <f>SUM(OSRRefH22_3x_0)</f>
        <v>31</v>
      </c>
      <c r="I50" s="1"/>
      <c r="J50" s="5">
        <f t="shared" si="29"/>
        <v>5.5606079358843969E-5</v>
      </c>
      <c r="K50" s="1"/>
      <c r="L50" s="1">
        <f t="shared" si="30"/>
        <v>-47.2</v>
      </c>
      <c r="M50" s="1"/>
      <c r="N50" s="5">
        <f t="shared" si="31"/>
        <v>-1.5225806451612904</v>
      </c>
      <c r="O50" s="14"/>
      <c r="P50" s="1">
        <f>SUM(OSRRefP22_3x_0)</f>
        <v>53.54</v>
      </c>
      <c r="Q50" s="1"/>
      <c r="R50" s="5">
        <f t="shared" si="32"/>
        <v>7.050364424435258E-5</v>
      </c>
      <c r="S50" s="1"/>
      <c r="T50" s="1">
        <f>SUM(OSRRefT22_3x_0)</f>
        <v>232</v>
      </c>
      <c r="U50" s="1"/>
      <c r="V50" s="5">
        <f t="shared" si="33"/>
        <v>8.7702950107984253E-5</v>
      </c>
      <c r="W50" s="1"/>
      <c r="X50" s="1">
        <f t="shared" si="34"/>
        <v>-178.46</v>
      </c>
      <c r="Y50" s="1"/>
      <c r="Z50" s="5">
        <f t="shared" si="35"/>
        <v>-0.7692241379310345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-16.2</v>
      </c>
      <c r="E51" s="2"/>
      <c r="F51" s="6">
        <f t="shared" si="28"/>
        <v>-1.913935291974373E-4</v>
      </c>
      <c r="G51" s="2"/>
      <c r="H51" s="7">
        <v>31</v>
      </c>
      <c r="I51" s="2"/>
      <c r="J51" s="6">
        <f t="shared" si="29"/>
        <v>5.5606079358843969E-5</v>
      </c>
      <c r="K51" s="2"/>
      <c r="L51" s="7">
        <f t="shared" si="30"/>
        <v>-47.2</v>
      </c>
      <c r="M51" s="2"/>
      <c r="N51" s="6">
        <f t="shared" si="31"/>
        <v>-1.5225806451612904</v>
      </c>
      <c r="O51" s="11"/>
      <c r="P51" s="7">
        <v>53.54</v>
      </c>
      <c r="Q51" s="2"/>
      <c r="R51" s="6">
        <f t="shared" si="32"/>
        <v>7.050364424435258E-5</v>
      </c>
      <c r="S51" s="2"/>
      <c r="T51" s="7">
        <v>232</v>
      </c>
      <c r="U51" s="2"/>
      <c r="V51" s="6">
        <f t="shared" si="33"/>
        <v>8.7702950107984253E-5</v>
      </c>
      <c r="W51" s="2"/>
      <c r="X51" s="7">
        <f t="shared" si="34"/>
        <v>-178.46</v>
      </c>
      <c r="Y51" s="2"/>
      <c r="Z51" s="6">
        <f t="shared" si="35"/>
        <v>-0.7692241379310345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77.599999999999994</v>
      </c>
      <c r="E52" s="1"/>
      <c r="F52" s="5">
        <f t="shared" si="28"/>
        <v>9.1679863368648981E-4</v>
      </c>
      <c r="G52" s="1"/>
      <c r="H52" s="1">
        <f>SUM(OSRRefH22_4x_0)</f>
        <v>395</v>
      </c>
      <c r="I52" s="1"/>
      <c r="J52" s="5">
        <f t="shared" si="29"/>
        <v>7.0852907570139899E-4</v>
      </c>
      <c r="K52" s="1"/>
      <c r="L52" s="1">
        <f t="shared" si="30"/>
        <v>-317.39999999999998</v>
      </c>
      <c r="M52" s="1"/>
      <c r="N52" s="5">
        <f t="shared" si="31"/>
        <v>-0.80354430379746833</v>
      </c>
      <c r="O52" s="14"/>
      <c r="P52" s="1">
        <f>SUM(OSRRefP22_4x_0)</f>
        <v>188.92</v>
      </c>
      <c r="Q52" s="1"/>
      <c r="R52" s="5">
        <f t="shared" si="32"/>
        <v>2.487775209309505E-4</v>
      </c>
      <c r="S52" s="1"/>
      <c r="T52" s="1">
        <f>SUM(OSRRefT22_4x_0)</f>
        <v>3150</v>
      </c>
      <c r="U52" s="1"/>
      <c r="V52" s="5">
        <f t="shared" si="33"/>
        <v>1.1907943656903036E-3</v>
      </c>
      <c r="W52" s="1"/>
      <c r="X52" s="1">
        <f t="shared" si="34"/>
        <v>-2961.08</v>
      </c>
      <c r="Y52" s="1"/>
      <c r="Z52" s="5">
        <f t="shared" si="35"/>
        <v>-0.94002539682539676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77.599999999999994</v>
      </c>
      <c r="E53" s="2"/>
      <c r="F53" s="6">
        <f t="shared" si="28"/>
        <v>9.1679863368648981E-4</v>
      </c>
      <c r="G53" s="2"/>
      <c r="H53" s="7">
        <v>395</v>
      </c>
      <c r="I53" s="2"/>
      <c r="J53" s="6">
        <f t="shared" si="29"/>
        <v>7.0852907570139899E-4</v>
      </c>
      <c r="K53" s="2"/>
      <c r="L53" s="7">
        <f t="shared" si="30"/>
        <v>-317.39999999999998</v>
      </c>
      <c r="M53" s="2"/>
      <c r="N53" s="6">
        <f t="shared" si="31"/>
        <v>-0.80354430379746833</v>
      </c>
      <c r="O53" s="11"/>
      <c r="P53" s="7">
        <v>188.92</v>
      </c>
      <c r="Q53" s="2"/>
      <c r="R53" s="6">
        <f t="shared" si="32"/>
        <v>2.487775209309505E-4</v>
      </c>
      <c r="S53" s="2"/>
      <c r="T53" s="7">
        <v>3150</v>
      </c>
      <c r="U53" s="2"/>
      <c r="V53" s="6">
        <f t="shared" si="33"/>
        <v>1.1907943656903036E-3</v>
      </c>
      <c r="W53" s="2"/>
      <c r="X53" s="7">
        <f t="shared" si="34"/>
        <v>-2961.08</v>
      </c>
      <c r="Y53" s="2"/>
      <c r="Z53" s="6">
        <f t="shared" si="35"/>
        <v>-0.94002539682539676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8"/>
        <v>8.9612340676701353E-3</v>
      </c>
      <c r="G54" s="1"/>
      <c r="H54" s="1">
        <f>SUM(OSRRefH22_5x_0)</f>
        <v>213</v>
      </c>
      <c r="I54" s="1"/>
      <c r="J54" s="5">
        <f t="shared" si="29"/>
        <v>3.8206757753012148E-4</v>
      </c>
      <c r="K54" s="1"/>
      <c r="L54" s="1">
        <f t="shared" si="30"/>
        <v>545.5</v>
      </c>
      <c r="M54" s="1"/>
      <c r="N54" s="5">
        <f t="shared" si="31"/>
        <v>2.5610328638497655</v>
      </c>
      <c r="O54" s="14"/>
      <c r="P54" s="1">
        <f>SUM(OSRRefP22_5x_0)</f>
        <v>5539.56</v>
      </c>
      <c r="Q54" s="1"/>
      <c r="R54" s="5">
        <f t="shared" si="32"/>
        <v>7.294717361043067E-3</v>
      </c>
      <c r="S54" s="1"/>
      <c r="T54" s="1">
        <f>SUM(OSRRefT22_5x_0)</f>
        <v>1704</v>
      </c>
      <c r="U54" s="1"/>
      <c r="V54" s="5">
        <f t="shared" si="33"/>
        <v>6.4416304734484994E-4</v>
      </c>
      <c r="W54" s="1"/>
      <c r="X54" s="1">
        <f t="shared" si="34"/>
        <v>3835.5600000000004</v>
      </c>
      <c r="Y54" s="1"/>
      <c r="Z54" s="5">
        <f t="shared" si="35"/>
        <v>2.2509154929577466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8.9612340676701353E-3</v>
      </c>
      <c r="G55" s="2"/>
      <c r="H55" s="7">
        <v>213</v>
      </c>
      <c r="I55" s="2"/>
      <c r="J55" s="6">
        <f t="shared" si="29"/>
        <v>3.8206757753012148E-4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5539.56</v>
      </c>
      <c r="Q55" s="2"/>
      <c r="R55" s="6">
        <f t="shared" si="32"/>
        <v>7.294717361043067E-3</v>
      </c>
      <c r="S55" s="2"/>
      <c r="T55" s="7">
        <v>1704</v>
      </c>
      <c r="U55" s="2"/>
      <c r="V55" s="6">
        <f t="shared" si="33"/>
        <v>6.4416304734484994E-4</v>
      </c>
      <c r="W55" s="2"/>
      <c r="X55" s="7">
        <f t="shared" si="34"/>
        <v>3835.5600000000004</v>
      </c>
      <c r="Y55" s="2"/>
      <c r="Z55" s="6">
        <f t="shared" si="35"/>
        <v>2.2509154929577466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5361.28</v>
      </c>
      <c r="E56" s="1"/>
      <c r="F56" s="5">
        <f t="shared" si="28"/>
        <v>6.3340388902199798E-2</v>
      </c>
      <c r="G56" s="1"/>
      <c r="H56" s="1">
        <f>SUM(OSRRefH22_6x_0)</f>
        <v>13773</v>
      </c>
      <c r="I56" s="1"/>
      <c r="J56" s="5">
        <f t="shared" si="29"/>
        <v>2.4705242935785739E-2</v>
      </c>
      <c r="K56" s="1"/>
      <c r="L56" s="1">
        <f t="shared" si="30"/>
        <v>-8411.7200000000012</v>
      </c>
      <c r="M56" s="1"/>
      <c r="N56" s="5">
        <f t="shared" si="31"/>
        <v>-0.6107398533362377</v>
      </c>
      <c r="O56" s="14"/>
      <c r="P56" s="1">
        <f>SUM(OSRRefP22_6x_0)</f>
        <v>43642.43</v>
      </c>
      <c r="Q56" s="1"/>
      <c r="R56" s="5">
        <f t="shared" si="32"/>
        <v>5.7470122500542779E-2</v>
      </c>
      <c r="S56" s="1"/>
      <c r="T56" s="1">
        <f>SUM(OSRRefT22_6x_0)</f>
        <v>92411</v>
      </c>
      <c r="U56" s="1"/>
      <c r="V56" s="5">
        <f t="shared" si="33"/>
        <v>3.4934126389779885E-2</v>
      </c>
      <c r="W56" s="1"/>
      <c r="X56" s="1">
        <f t="shared" si="34"/>
        <v>-48768.57</v>
      </c>
      <c r="Y56" s="1"/>
      <c r="Z56" s="5">
        <f t="shared" si="35"/>
        <v>-0.52773555096254776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5361.28</v>
      </c>
      <c r="E57" s="2"/>
      <c r="F57" s="6">
        <f t="shared" si="28"/>
        <v>6.3340388902199798E-2</v>
      </c>
      <c r="G57" s="2"/>
      <c r="H57" s="7">
        <v>13773</v>
      </c>
      <c r="I57" s="2"/>
      <c r="J57" s="6">
        <f t="shared" si="29"/>
        <v>2.4705242935785739E-2</v>
      </c>
      <c r="K57" s="2"/>
      <c r="L57" s="7">
        <f t="shared" si="30"/>
        <v>-8411.7200000000012</v>
      </c>
      <c r="M57" s="2"/>
      <c r="N57" s="6">
        <f t="shared" si="31"/>
        <v>-0.6107398533362377</v>
      </c>
      <c r="O57" s="11"/>
      <c r="P57" s="7">
        <v>43642.43</v>
      </c>
      <c r="Q57" s="2"/>
      <c r="R57" s="6">
        <f t="shared" si="32"/>
        <v>5.7470122500542779E-2</v>
      </c>
      <c r="S57" s="2"/>
      <c r="T57" s="7">
        <v>92411</v>
      </c>
      <c r="U57" s="2"/>
      <c r="V57" s="6">
        <f t="shared" si="33"/>
        <v>3.4934126389779885E-2</v>
      </c>
      <c r="W57" s="2"/>
      <c r="X57" s="7">
        <f t="shared" si="34"/>
        <v>-48768.57</v>
      </c>
      <c r="Y57" s="2"/>
      <c r="Z57" s="6">
        <f t="shared" si="35"/>
        <v>-0.52773555096254776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5.3812334863397385E-4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2200</v>
      </c>
      <c r="U58" s="1"/>
      <c r="V58" s="5">
        <f t="shared" si="33"/>
        <v>8.3166590619640241E-4</v>
      </c>
      <c r="W58" s="1"/>
      <c r="X58" s="1">
        <f t="shared" si="34"/>
        <v>-2200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5.3812334863397385E-4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2200</v>
      </c>
      <c r="U59" s="2"/>
      <c r="V59" s="6">
        <f t="shared" si="33"/>
        <v>8.3166590619640241E-4</v>
      </c>
      <c r="W59" s="2"/>
      <c r="X59" s="7">
        <f t="shared" si="34"/>
        <v>-2200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556.54</v>
      </c>
      <c r="E60" s="1"/>
      <c r="F60" s="5">
        <f t="shared" si="28"/>
        <v>6.5751947370087504E-3</v>
      </c>
      <c r="G60" s="1"/>
      <c r="H60" s="1">
        <f>SUM(OSRRefH22_8x_0)</f>
        <v>690</v>
      </c>
      <c r="I60" s="1"/>
      <c r="J60" s="5">
        <f t="shared" si="29"/>
        <v>1.23768370185814E-3</v>
      </c>
      <c r="K60" s="1"/>
      <c r="L60" s="1">
        <f t="shared" si="30"/>
        <v>-133.46000000000004</v>
      </c>
      <c r="M60" s="1"/>
      <c r="N60" s="5">
        <f t="shared" si="31"/>
        <v>-0.19342028985507251</v>
      </c>
      <c r="O60" s="14"/>
      <c r="P60" s="1">
        <f>SUM(OSRRefP22_8x_0)</f>
        <v>3837.56</v>
      </c>
      <c r="Q60" s="1"/>
      <c r="R60" s="5">
        <f t="shared" si="32"/>
        <v>5.0534547068800464E-3</v>
      </c>
      <c r="S60" s="1"/>
      <c r="T60" s="1">
        <f>SUM(OSRRefT22_8x_0)</f>
        <v>5520</v>
      </c>
      <c r="U60" s="1"/>
      <c r="V60" s="5">
        <f t="shared" si="33"/>
        <v>2.086725364638246E-3</v>
      </c>
      <c r="W60" s="1"/>
      <c r="X60" s="1">
        <f t="shared" si="34"/>
        <v>-1682.44</v>
      </c>
      <c r="Y60" s="1"/>
      <c r="Z60" s="5">
        <f t="shared" si="35"/>
        <v>-0.30478985507246376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556.54</v>
      </c>
      <c r="E61" s="2"/>
      <c r="F61" s="6">
        <f t="shared" si="28"/>
        <v>6.5751947370087504E-3</v>
      </c>
      <c r="G61" s="2"/>
      <c r="H61" s="7">
        <v>690</v>
      </c>
      <c r="I61" s="2"/>
      <c r="J61" s="6">
        <f t="shared" si="29"/>
        <v>1.23768370185814E-3</v>
      </c>
      <c r="K61" s="2"/>
      <c r="L61" s="7">
        <f t="shared" si="30"/>
        <v>-133.46000000000004</v>
      </c>
      <c r="M61" s="2"/>
      <c r="N61" s="6">
        <f t="shared" si="31"/>
        <v>-0.19342028985507251</v>
      </c>
      <c r="O61" s="11"/>
      <c r="P61" s="7">
        <v>3837.56</v>
      </c>
      <c r="Q61" s="2"/>
      <c r="R61" s="6">
        <f t="shared" si="32"/>
        <v>5.0534547068800464E-3</v>
      </c>
      <c r="S61" s="2"/>
      <c r="T61" s="7">
        <v>5520</v>
      </c>
      <c r="U61" s="2"/>
      <c r="V61" s="6">
        <f t="shared" si="33"/>
        <v>2.086725364638246E-3</v>
      </c>
      <c r="W61" s="2"/>
      <c r="X61" s="7">
        <f t="shared" si="34"/>
        <v>-1682.44</v>
      </c>
      <c r="Y61" s="2"/>
      <c r="Z61" s="6">
        <f t="shared" si="35"/>
        <v>-0.30478985507246376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430</v>
      </c>
      <c r="I62" s="1"/>
      <c r="J62" s="5">
        <f t="shared" si="29"/>
        <v>7.713101330420292E-4</v>
      </c>
      <c r="K62" s="1"/>
      <c r="L62" s="1">
        <f t="shared" si="30"/>
        <v>-430</v>
      </c>
      <c r="M62" s="1"/>
      <c r="N62" s="5">
        <f t="shared" si="31"/>
        <v>-1</v>
      </c>
      <c r="O62" s="14"/>
      <c r="P62" s="1">
        <f>SUM(OSRRefP22_9x_0)</f>
        <v>7158.43</v>
      </c>
      <c r="Q62" s="1"/>
      <c r="R62" s="5">
        <f t="shared" si="32"/>
        <v>9.4265110584254921E-3</v>
      </c>
      <c r="S62" s="1"/>
      <c r="T62" s="1">
        <f>SUM(OSRRefT22_9x_0)</f>
        <v>7860</v>
      </c>
      <c r="U62" s="1"/>
      <c r="V62" s="5">
        <f t="shared" si="33"/>
        <v>2.9713154648653285E-3</v>
      </c>
      <c r="W62" s="1"/>
      <c r="X62" s="1">
        <f t="shared" si="34"/>
        <v>-701.56999999999971</v>
      </c>
      <c r="Y62" s="1"/>
      <c r="Z62" s="5">
        <f t="shared" si="35"/>
        <v>-8.9258269720101743E-2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430</v>
      </c>
      <c r="I63" s="2"/>
      <c r="J63" s="6">
        <f t="shared" si="29"/>
        <v>7.713101330420292E-4</v>
      </c>
      <c r="K63" s="2"/>
      <c r="L63" s="7">
        <f t="shared" si="30"/>
        <v>-430</v>
      </c>
      <c r="M63" s="2"/>
      <c r="N63" s="6">
        <f t="shared" si="31"/>
        <v>-1</v>
      </c>
      <c r="O63" s="11"/>
      <c r="P63" s="7">
        <v>7158.43</v>
      </c>
      <c r="Q63" s="2"/>
      <c r="R63" s="6">
        <f t="shared" si="32"/>
        <v>9.4265110584254921E-3</v>
      </c>
      <c r="S63" s="2"/>
      <c r="T63" s="7">
        <v>7860</v>
      </c>
      <c r="U63" s="2"/>
      <c r="V63" s="6">
        <f t="shared" si="33"/>
        <v>2.9713154648653285E-3</v>
      </c>
      <c r="W63" s="2"/>
      <c r="X63" s="7">
        <f t="shared" si="34"/>
        <v>-701.56999999999971</v>
      </c>
      <c r="Y63" s="2"/>
      <c r="Z63" s="6">
        <f t="shared" si="35"/>
        <v>-8.9258269720101743E-2</v>
      </c>
    </row>
    <row r="64" spans="1:26" s="28" customFormat="1" outlineLevel="1" collapsed="1" x14ac:dyDescent="0.25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6.9705050757091371E-5</v>
      </c>
      <c r="G64" s="1"/>
      <c r="H64" s="1">
        <f>SUM(OSRRefH22_10x_0)</f>
        <v>7</v>
      </c>
      <c r="I64" s="1"/>
      <c r="J64" s="5">
        <f t="shared" si="29"/>
        <v>1.2556211468126057E-5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47.2</v>
      </c>
      <c r="Q64" s="1"/>
      <c r="R64" s="5">
        <f t="shared" si="32"/>
        <v>6.2154875015566719E-5</v>
      </c>
      <c r="S64" s="1"/>
      <c r="T64" s="1">
        <f>SUM(OSRRefT22_10x_0)</f>
        <v>56</v>
      </c>
      <c r="U64" s="1"/>
      <c r="V64" s="5">
        <f t="shared" si="33"/>
        <v>2.1169677612272062E-5</v>
      </c>
      <c r="W64" s="1"/>
      <c r="X64" s="1">
        <f t="shared" si="34"/>
        <v>-8.7999999999999972</v>
      </c>
      <c r="Y64" s="1"/>
      <c r="Z64" s="5">
        <f t="shared" si="35"/>
        <v>-0.15714285714285708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6.9705050757091371E-5</v>
      </c>
      <c r="G65" s="2"/>
      <c r="H65" s="7">
        <v>7</v>
      </c>
      <c r="I65" s="2"/>
      <c r="J65" s="6">
        <f t="shared" si="29"/>
        <v>1.2556211468126057E-5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47.2</v>
      </c>
      <c r="Q65" s="2"/>
      <c r="R65" s="6">
        <f t="shared" si="32"/>
        <v>6.2154875015566719E-5</v>
      </c>
      <c r="S65" s="2"/>
      <c r="T65" s="7">
        <v>56</v>
      </c>
      <c r="U65" s="2"/>
      <c r="V65" s="6">
        <f t="shared" si="33"/>
        <v>2.1169677612272062E-5</v>
      </c>
      <c r="W65" s="2"/>
      <c r="X65" s="7">
        <f t="shared" si="34"/>
        <v>-8.7999999999999972</v>
      </c>
      <c r="Y65" s="2"/>
      <c r="Z65" s="6">
        <f t="shared" si="35"/>
        <v>-0.15714285714285708</v>
      </c>
    </row>
    <row r="66" spans="1:26" s="28" customFormat="1" outlineLevel="1" collapsed="1" x14ac:dyDescent="0.25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6342.49</v>
      </c>
      <c r="E66" s="1"/>
      <c r="F66" s="5">
        <f t="shared" si="28"/>
        <v>7.4932811419719386E-2</v>
      </c>
      <c r="G66" s="1"/>
      <c r="H66" s="1">
        <f>SUM(OSRRefH22_11x_0)</f>
        <v>44600</v>
      </c>
      <c r="I66" s="1"/>
      <c r="J66" s="5">
        <f t="shared" si="29"/>
        <v>8.0001004496917452E-2</v>
      </c>
      <c r="K66" s="1"/>
      <c r="L66" s="1">
        <f t="shared" si="30"/>
        <v>-38257.51</v>
      </c>
      <c r="M66" s="1"/>
      <c r="N66" s="5">
        <f t="shared" si="31"/>
        <v>-0.85779170403587446</v>
      </c>
      <c r="O66" s="14"/>
      <c r="P66" s="1">
        <f>SUM(OSRRefP22_11x_0)</f>
        <v>52255.85</v>
      </c>
      <c r="Q66" s="1"/>
      <c r="R66" s="5">
        <f t="shared" si="32"/>
        <v>6.8812623423351732E-2</v>
      </c>
      <c r="S66" s="1"/>
      <c r="T66" s="1">
        <f>SUM(OSRRefT22_11x_0)</f>
        <v>213902</v>
      </c>
      <c r="U66" s="1"/>
      <c r="V66" s="5">
        <f t="shared" si="33"/>
        <v>8.0861363939646755E-2</v>
      </c>
      <c r="W66" s="1"/>
      <c r="X66" s="1">
        <f t="shared" si="34"/>
        <v>-161646.15</v>
      </c>
      <c r="Y66" s="1"/>
      <c r="Z66" s="5">
        <f t="shared" si="35"/>
        <v>-0.75570191022056832</v>
      </c>
    </row>
    <row r="67" spans="1:26" s="24" customFormat="1" hidden="1" outlineLevel="2" x14ac:dyDescent="0.25">
      <c r="A67" s="27"/>
      <c r="B67" s="11" t="str">
        <f>CONCATENATE("          ", "6387", " - ", "COMMISSION DUE HOUSING")</f>
        <v xml:space="preserve">          6387 - COMMISSION DUE HOUSING</v>
      </c>
      <c r="C67" s="11"/>
      <c r="D67" s="7">
        <v>6342.49</v>
      </c>
      <c r="E67" s="2"/>
      <c r="F67" s="6">
        <f t="shared" si="28"/>
        <v>7.4932811419719386E-2</v>
      </c>
      <c r="G67" s="2"/>
      <c r="H67" s="7">
        <v>44600</v>
      </c>
      <c r="I67" s="2"/>
      <c r="J67" s="6">
        <f t="shared" si="29"/>
        <v>8.0001004496917452E-2</v>
      </c>
      <c r="K67" s="2"/>
      <c r="L67" s="7">
        <f t="shared" si="30"/>
        <v>-38257.51</v>
      </c>
      <c r="M67" s="2"/>
      <c r="N67" s="6">
        <f t="shared" si="31"/>
        <v>-0.85779170403587446</v>
      </c>
      <c r="O67" s="11"/>
      <c r="P67" s="7">
        <v>52255.85</v>
      </c>
      <c r="Q67" s="2"/>
      <c r="R67" s="6">
        <f t="shared" si="32"/>
        <v>6.8812623423351732E-2</v>
      </c>
      <c r="S67" s="2"/>
      <c r="T67" s="7">
        <v>213902</v>
      </c>
      <c r="U67" s="2"/>
      <c r="V67" s="6">
        <f t="shared" si="33"/>
        <v>8.0861363939646755E-2</v>
      </c>
      <c r="W67" s="2"/>
      <c r="X67" s="7">
        <f t="shared" si="34"/>
        <v>-161646.15</v>
      </c>
      <c r="Y67" s="2"/>
      <c r="Z67" s="6">
        <f t="shared" si="35"/>
        <v>-0.75570191022056832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3587.74</v>
      </c>
      <c r="E68" s="1"/>
      <c r="F68" s="5">
        <f t="shared" si="28"/>
        <v>4.2387050644618132E-2</v>
      </c>
      <c r="G68" s="1"/>
      <c r="H68" s="1">
        <f>SUM(OSRRefH22_12x_0)</f>
        <v>42553</v>
      </c>
      <c r="I68" s="1"/>
      <c r="J68" s="5">
        <f t="shared" si="29"/>
        <v>7.6329209514738303E-2</v>
      </c>
      <c r="K68" s="1"/>
      <c r="L68" s="1">
        <f t="shared" si="30"/>
        <v>-38965.26</v>
      </c>
      <c r="M68" s="1"/>
      <c r="N68" s="5">
        <f t="shared" si="31"/>
        <v>-0.9156877305947877</v>
      </c>
      <c r="O68" s="14"/>
      <c r="P68" s="1">
        <f>SUM(OSRRefP22_12x_0)</f>
        <v>15259.470000000001</v>
      </c>
      <c r="Q68" s="1"/>
      <c r="R68" s="5">
        <f t="shared" si="32"/>
        <v>2.0094289208766734E-2</v>
      </c>
      <c r="S68" s="1"/>
      <c r="T68" s="1">
        <f>SUM(OSRRefT22_12x_0)</f>
        <v>69292</v>
      </c>
      <c r="U68" s="1"/>
      <c r="V68" s="5">
        <f t="shared" si="33"/>
        <v>2.619445180552778E-2</v>
      </c>
      <c r="W68" s="1"/>
      <c r="X68" s="1">
        <f t="shared" si="34"/>
        <v>-54032.53</v>
      </c>
      <c r="Y68" s="1"/>
      <c r="Z68" s="5">
        <f t="shared" si="35"/>
        <v>-0.77978020550712923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4.1350453838952507E-2</v>
      </c>
      <c r="G69" s="2"/>
      <c r="H69" s="7">
        <v>40245</v>
      </c>
      <c r="I69" s="2"/>
      <c r="J69" s="6">
        <f t="shared" si="29"/>
        <v>7.218924721924759E-2</v>
      </c>
      <c r="K69" s="2"/>
      <c r="L69" s="7">
        <f t="shared" si="30"/>
        <v>-36745</v>
      </c>
      <c r="M69" s="2"/>
      <c r="N69" s="6">
        <f t="shared" si="31"/>
        <v>-0.91303267486644302</v>
      </c>
      <c r="O69" s="11"/>
      <c r="P69" s="7">
        <v>10500</v>
      </c>
      <c r="Q69" s="2"/>
      <c r="R69" s="6">
        <f t="shared" si="32"/>
        <v>1.3826826009818867E-2</v>
      </c>
      <c r="S69" s="2"/>
      <c r="T69" s="7">
        <v>56745</v>
      </c>
      <c r="U69" s="2"/>
      <c r="V69" s="6">
        <f t="shared" si="33"/>
        <v>2.1451309930506753E-2</v>
      </c>
      <c r="W69" s="2"/>
      <c r="X69" s="7">
        <f t="shared" si="34"/>
        <v>-46245</v>
      </c>
      <c r="Y69" s="2"/>
      <c r="Z69" s="6">
        <f t="shared" si="35"/>
        <v>-0.81496167063177372</v>
      </c>
    </row>
    <row r="70" spans="1:26" s="24" customFormat="1" hidden="1" outlineLevel="2" x14ac:dyDescent="0.25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1.1654663585470495E-3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25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9.5399999999999991</v>
      </c>
      <c r="E71" s="2"/>
      <c r="F71" s="6">
        <f t="shared" si="28"/>
        <v>1.1270952274960195E-4</v>
      </c>
      <c r="G71" s="2"/>
      <c r="H71" s="7">
        <v>1858</v>
      </c>
      <c r="I71" s="2"/>
      <c r="J71" s="6">
        <f t="shared" si="29"/>
        <v>3.332777272539745E-3</v>
      </c>
      <c r="K71" s="2"/>
      <c r="L71" s="7">
        <f t="shared" si="30"/>
        <v>-1848.46</v>
      </c>
      <c r="M71" s="2"/>
      <c r="N71" s="6">
        <f t="shared" si="31"/>
        <v>-0.99486544671689991</v>
      </c>
      <c r="O71" s="11"/>
      <c r="P71" s="7">
        <v>2985.45</v>
      </c>
      <c r="Q71" s="2"/>
      <c r="R71" s="6">
        <f t="shared" si="32"/>
        <v>3.9313616867632127E-3</v>
      </c>
      <c r="S71" s="2"/>
      <c r="T71" s="7">
        <v>5864</v>
      </c>
      <c r="U71" s="2"/>
      <c r="V71" s="6">
        <f t="shared" si="33"/>
        <v>2.2167676699707743E-3</v>
      </c>
      <c r="W71" s="2"/>
      <c r="X71" s="7">
        <f t="shared" si="34"/>
        <v>-2878.55</v>
      </c>
      <c r="Y71" s="2"/>
      <c r="Z71" s="6">
        <f t="shared" si="35"/>
        <v>-0.49088506139154164</v>
      </c>
    </row>
    <row r="72" spans="1:26" s="24" customFormat="1" hidden="1" outlineLevel="2" x14ac:dyDescent="0.2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78.2</v>
      </c>
      <c r="E72" s="2"/>
      <c r="F72" s="6">
        <f t="shared" si="28"/>
        <v>9.2388728291602456E-4</v>
      </c>
      <c r="G72" s="2"/>
      <c r="H72" s="7">
        <v>450</v>
      </c>
      <c r="I72" s="2"/>
      <c r="J72" s="6">
        <f t="shared" si="29"/>
        <v>8.0718502295096077E-4</v>
      </c>
      <c r="K72" s="2"/>
      <c r="L72" s="7">
        <f t="shared" si="30"/>
        <v>-371.8</v>
      </c>
      <c r="M72" s="2"/>
      <c r="N72" s="6">
        <f t="shared" si="31"/>
        <v>-0.8262222222222223</v>
      </c>
      <c r="O72" s="11"/>
      <c r="P72" s="7">
        <v>1774.02</v>
      </c>
      <c r="Q72" s="2"/>
      <c r="R72" s="6">
        <f t="shared" si="32"/>
        <v>2.3361015121846538E-3</v>
      </c>
      <c r="S72" s="2"/>
      <c r="T72" s="7">
        <v>3600</v>
      </c>
      <c r="U72" s="2"/>
      <c r="V72" s="6">
        <f t="shared" si="33"/>
        <v>1.3609078465032041E-3</v>
      </c>
      <c r="W72" s="2"/>
      <c r="X72" s="7">
        <f t="shared" si="34"/>
        <v>-1825.98</v>
      </c>
      <c r="Y72" s="2"/>
      <c r="Z72" s="6">
        <f t="shared" si="35"/>
        <v>-0.50721666666666665</v>
      </c>
    </row>
    <row r="73" spans="1:26" s="28" customFormat="1" outlineLevel="1" collapsed="1" x14ac:dyDescent="0.25">
      <c r="A73" s="29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10292.240000000002</v>
      </c>
      <c r="E73" s="1"/>
      <c r="F73" s="5">
        <f t="shared" ref="F73:F77" si="36">IF(D$12=0,0,D73/D$12)</f>
        <v>0.12159679857697732</v>
      </c>
      <c r="G73" s="1"/>
      <c r="H73" s="1">
        <f>SUM(OSRRefH22_13x_0)</f>
        <v>19902</v>
      </c>
      <c r="I73" s="1"/>
      <c r="J73" s="5">
        <f t="shared" ref="J73:J77" si="37">IF(H$12=0,0,H73/H$12)</f>
        <v>3.5699102948377824E-2</v>
      </c>
      <c r="K73" s="1"/>
      <c r="L73" s="1">
        <f t="shared" ref="L73:L77" si="38">+D73-H73</f>
        <v>-9609.7599999999984</v>
      </c>
      <c r="M73" s="1"/>
      <c r="N73" s="5">
        <f t="shared" ref="N73:N77" si="39">IF(H73=0,0,L73/H73)</f>
        <v>-0.48285398452416833</v>
      </c>
      <c r="O73" s="14"/>
      <c r="P73" s="1">
        <f>SUM(OSRRefP22_13x_0)</f>
        <v>89099.18</v>
      </c>
      <c r="Q73" s="1"/>
      <c r="R73" s="5">
        <f t="shared" ref="R73:R77" si="40">IF(P$12=0,0,P73/P$12)</f>
        <v>0.11732941518833646</v>
      </c>
      <c r="S73" s="1"/>
      <c r="T73" s="1">
        <f>SUM(OSRRefT22_13x_0)</f>
        <v>154254</v>
      </c>
      <c r="U73" s="1"/>
      <c r="V73" s="5">
        <f t="shared" ref="V73:V77" si="41">IF(T$12=0,0,T73/T$12)</f>
        <v>5.8312633042918116E-2</v>
      </c>
      <c r="W73" s="1"/>
      <c r="X73" s="1">
        <f t="shared" ref="X73:X77" si="42">+P73-T73</f>
        <v>-65154.820000000007</v>
      </c>
      <c r="Y73" s="1"/>
      <c r="Z73" s="5">
        <f t="shared" ref="Z73:Z77" si="43">IF(T73=0,0,X73/T73)</f>
        <v>-0.42238658316802163</v>
      </c>
    </row>
    <row r="74" spans="1:26" s="24" customFormat="1" hidden="1" outlineLevel="2" x14ac:dyDescent="0.25">
      <c r="A74" s="27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421.34</v>
      </c>
      <c r="E74" s="2"/>
      <c r="F74" s="6">
        <f t="shared" si="36"/>
        <v>4.977885777286928E-3</v>
      </c>
      <c r="G74" s="2"/>
      <c r="H74" s="7">
        <v>1750</v>
      </c>
      <c r="I74" s="2"/>
      <c r="J74" s="6">
        <f t="shared" si="37"/>
        <v>3.1390528670315141E-3</v>
      </c>
      <c r="K74" s="2"/>
      <c r="L74" s="7">
        <f t="shared" si="38"/>
        <v>-1328.66</v>
      </c>
      <c r="M74" s="2"/>
      <c r="N74" s="6">
        <f t="shared" si="39"/>
        <v>-0.75923428571428575</v>
      </c>
      <c r="O74" s="11"/>
      <c r="P74" s="7">
        <v>9916.65</v>
      </c>
      <c r="Q74" s="2"/>
      <c r="R74" s="6">
        <f t="shared" si="40"/>
        <v>1.30586470619305E-2</v>
      </c>
      <c r="S74" s="2"/>
      <c r="T74" s="7">
        <v>14000</v>
      </c>
      <c r="U74" s="2"/>
      <c r="V74" s="6">
        <f t="shared" si="41"/>
        <v>5.2924194030680152E-3</v>
      </c>
      <c r="W74" s="2"/>
      <c r="X74" s="7">
        <f t="shared" si="42"/>
        <v>-4083.3500000000004</v>
      </c>
      <c r="Y74" s="2"/>
      <c r="Z74" s="6">
        <f t="shared" si="43"/>
        <v>-0.29166785714285715</v>
      </c>
    </row>
    <row r="75" spans="1:26" s="24" customFormat="1" hidden="1" outlineLevel="2" x14ac:dyDescent="0.25">
      <c r="A75" s="27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36"/>
        <v>0</v>
      </c>
      <c r="G75" s="2"/>
      <c r="H75" s="7">
        <v>500</v>
      </c>
      <c r="I75" s="2"/>
      <c r="J75" s="6">
        <f t="shared" si="37"/>
        <v>8.9687224772328974E-4</v>
      </c>
      <c r="K75" s="2"/>
      <c r="L75" s="7">
        <f t="shared" si="38"/>
        <v>-500</v>
      </c>
      <c r="M75" s="2"/>
      <c r="N75" s="6">
        <f t="shared" si="39"/>
        <v>-1</v>
      </c>
      <c r="O75" s="11"/>
      <c r="P75" s="7">
        <v>282.75</v>
      </c>
      <c r="Q75" s="2"/>
      <c r="R75" s="6">
        <f t="shared" si="40"/>
        <v>3.723366718358366E-4</v>
      </c>
      <c r="S75" s="2"/>
      <c r="T75" s="7">
        <v>4000</v>
      </c>
      <c r="U75" s="2"/>
      <c r="V75" s="6">
        <f t="shared" si="41"/>
        <v>1.5121198294480043E-3</v>
      </c>
      <c r="W75" s="2"/>
      <c r="X75" s="7">
        <f t="shared" si="42"/>
        <v>-3717.25</v>
      </c>
      <c r="Y75" s="2"/>
      <c r="Z75" s="6">
        <f t="shared" si="43"/>
        <v>-0.92931249999999999</v>
      </c>
    </row>
    <row r="76" spans="1:26" s="24" customFormat="1" hidden="1" outlineLevel="2" x14ac:dyDescent="0.25">
      <c r="A76" s="27"/>
      <c r="B76" s="11" t="str">
        <f>CONCATENATE("          ", "6285", " - ", "JANITORIAL SERVICES")</f>
        <v xml:space="preserve">          6285 - JANITORIAL SERVICES</v>
      </c>
      <c r="C76" s="11"/>
      <c r="D76" s="7">
        <v>8897.19</v>
      </c>
      <c r="E76" s="2"/>
      <c r="F76" s="6">
        <f t="shared" si="36"/>
        <v>0.10511509839753996</v>
      </c>
      <c r="G76" s="2"/>
      <c r="H76" s="7">
        <v>13152</v>
      </c>
      <c r="I76" s="2"/>
      <c r="J76" s="6">
        <f t="shared" si="37"/>
        <v>2.3591327604113414E-2</v>
      </c>
      <c r="K76" s="2"/>
      <c r="L76" s="7">
        <f t="shared" si="38"/>
        <v>-4254.8099999999995</v>
      </c>
      <c r="M76" s="2"/>
      <c r="N76" s="6">
        <f t="shared" si="39"/>
        <v>-0.3235104927007299</v>
      </c>
      <c r="O76" s="11"/>
      <c r="P76" s="7">
        <v>67096.36</v>
      </c>
      <c r="Q76" s="2"/>
      <c r="R76" s="6">
        <f t="shared" si="40"/>
        <v>8.835520910592097E-2</v>
      </c>
      <c r="S76" s="2"/>
      <c r="T76" s="7">
        <v>100254</v>
      </c>
      <c r="U76" s="2"/>
      <c r="V76" s="6">
        <f t="shared" si="41"/>
        <v>3.789901534537006E-2</v>
      </c>
      <c r="W76" s="2"/>
      <c r="X76" s="7">
        <f t="shared" si="42"/>
        <v>-33157.64</v>
      </c>
      <c r="Y76" s="2"/>
      <c r="Z76" s="6">
        <f t="shared" si="43"/>
        <v>-0.33073632972250483</v>
      </c>
    </row>
    <row r="77" spans="1:26" s="24" customFormat="1" hidden="1" outlineLevel="2" x14ac:dyDescent="0.25">
      <c r="A77" s="27"/>
      <c r="B77" s="11" t="str">
        <f>CONCATENATE("          ", "6286", " - ", "LAUNDRY EXPENSE")</f>
        <v xml:space="preserve">          6286 - LAUNDRY EXPENSE</v>
      </c>
      <c r="C77" s="11"/>
      <c r="D77" s="7">
        <v>973.71</v>
      </c>
      <c r="E77" s="2"/>
      <c r="F77" s="6">
        <f t="shared" si="36"/>
        <v>1.1503814402150413E-2</v>
      </c>
      <c r="G77" s="2"/>
      <c r="H77" s="7">
        <v>4500</v>
      </c>
      <c r="I77" s="2"/>
      <c r="J77" s="6">
        <f t="shared" si="37"/>
        <v>8.0718502295096077E-3</v>
      </c>
      <c r="K77" s="2"/>
      <c r="L77" s="7">
        <f t="shared" si="38"/>
        <v>-3526.29</v>
      </c>
      <c r="M77" s="2"/>
      <c r="N77" s="6">
        <f t="shared" si="39"/>
        <v>-0.78361999999999998</v>
      </c>
      <c r="O77" s="11"/>
      <c r="P77" s="7">
        <v>11803.42</v>
      </c>
      <c r="Q77" s="2"/>
      <c r="R77" s="6">
        <f t="shared" si="40"/>
        <v>1.5543222348649162E-2</v>
      </c>
      <c r="S77" s="2"/>
      <c r="T77" s="7">
        <v>36000</v>
      </c>
      <c r="U77" s="2"/>
      <c r="V77" s="6">
        <f t="shared" si="41"/>
        <v>1.3609078465032039E-2</v>
      </c>
      <c r="W77" s="2"/>
      <c r="X77" s="7">
        <f t="shared" si="42"/>
        <v>-24196.58</v>
      </c>
      <c r="Y77" s="2"/>
      <c r="Z77" s="6">
        <f t="shared" si="43"/>
        <v>-0.67212722222222232</v>
      </c>
    </row>
    <row r="78" spans="1:26" s="28" customFormat="1" outlineLevel="1" collapsed="1" x14ac:dyDescent="0.25">
      <c r="A78" s="29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4"/>
      <c r="P78" s="1">
        <f>SUM(OSRRefP22_14x_0)</f>
        <v>795</v>
      </c>
      <c r="Q78" s="1"/>
      <c r="R78" s="5">
        <f t="shared" ref="R78:R90" si="48">IF(P$12=0,0,P78/P$12)</f>
        <v>1.0468882550291427E-3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7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1.0468882550291427E-3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8" customFormat="1" outlineLevel="1" collapsed="1" x14ac:dyDescent="0.25">
      <c r="A80" s="29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12072.349999999999</v>
      </c>
      <c r="E80" s="1"/>
      <c r="F80" s="5">
        <f t="shared" si="44"/>
        <v>0.14262775754362234</v>
      </c>
      <c r="G80" s="1"/>
      <c r="H80" s="1">
        <f>SUM(OSRRefH22_15x_0)</f>
        <v>25868</v>
      </c>
      <c r="I80" s="1"/>
      <c r="J80" s="5">
        <f t="shared" si="45"/>
        <v>4.6400582608212122E-2</v>
      </c>
      <c r="K80" s="1"/>
      <c r="L80" s="1">
        <f t="shared" si="46"/>
        <v>-13795.650000000001</v>
      </c>
      <c r="M80" s="1"/>
      <c r="N80" s="5">
        <f t="shared" si="47"/>
        <v>-0.53330949435596109</v>
      </c>
      <c r="O80" s="14"/>
      <c r="P80" s="1">
        <f>SUM(OSRRefP22_15x_0)</f>
        <v>112571.37</v>
      </c>
      <c r="Q80" s="1"/>
      <c r="R80" s="5">
        <f t="shared" si="48"/>
        <v>0.148238547302566</v>
      </c>
      <c r="S80" s="1"/>
      <c r="T80" s="1">
        <f>SUM(OSRRefT22_15x_0)</f>
        <v>202006</v>
      </c>
      <c r="U80" s="1"/>
      <c r="V80" s="5">
        <f t="shared" si="49"/>
        <v>7.6364319566868399E-2</v>
      </c>
      <c r="W80" s="1"/>
      <c r="X80" s="1">
        <f t="shared" si="50"/>
        <v>-89434.63</v>
      </c>
      <c r="Y80" s="1"/>
      <c r="Z80" s="5">
        <f t="shared" si="51"/>
        <v>-0.44273254259774464</v>
      </c>
    </row>
    <row r="81" spans="1:26" s="24" customFormat="1" hidden="1" outlineLevel="2" x14ac:dyDescent="0.25">
      <c r="A81" s="27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1.7937444954465795E-4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800</v>
      </c>
      <c r="U81" s="2"/>
      <c r="V81" s="6">
        <f t="shared" si="49"/>
        <v>3.024239658896009E-4</v>
      </c>
      <c r="W81" s="2"/>
      <c r="X81" s="7">
        <f t="shared" si="50"/>
        <v>-800</v>
      </c>
      <c r="Y81" s="2"/>
      <c r="Z81" s="6">
        <f t="shared" si="51"/>
        <v>-1</v>
      </c>
    </row>
    <row r="82" spans="1:26" s="24" customFormat="1" hidden="1" outlineLevel="2" x14ac:dyDescent="0.25">
      <c r="A82" s="27"/>
      <c r="B82" s="11" t="str">
        <f>CONCATENATE("          ", "6235", " - ", "COVID-19 EXPENSES")</f>
        <v xml:space="preserve">          6235 - COVID-19 EXPENSES</v>
      </c>
      <c r="C82" s="11"/>
      <c r="D82" s="7">
        <v>2921.2</v>
      </c>
      <c r="E82" s="2"/>
      <c r="F82" s="6">
        <f t="shared" si="44"/>
        <v>3.4512270215528017E-2</v>
      </c>
      <c r="G82" s="2"/>
      <c r="H82" s="7">
        <v>12200</v>
      </c>
      <c r="I82" s="2"/>
      <c r="J82" s="6">
        <f t="shared" si="45"/>
        <v>2.188368284444827E-2</v>
      </c>
      <c r="K82" s="2"/>
      <c r="L82" s="7">
        <f t="shared" si="46"/>
        <v>-9278.7999999999993</v>
      </c>
      <c r="M82" s="2"/>
      <c r="N82" s="6">
        <f t="shared" si="47"/>
        <v>-0.76055737704918025</v>
      </c>
      <c r="O82" s="11"/>
      <c r="P82" s="7">
        <v>53569.55</v>
      </c>
      <c r="Q82" s="2"/>
      <c r="R82" s="6">
        <f t="shared" si="48"/>
        <v>7.0542556883265925E-2</v>
      </c>
      <c r="S82" s="2"/>
      <c r="T82" s="7">
        <v>90600</v>
      </c>
      <c r="U82" s="2"/>
      <c r="V82" s="6">
        <f t="shared" si="49"/>
        <v>3.4249514136997297E-2</v>
      </c>
      <c r="W82" s="2"/>
      <c r="X82" s="7">
        <f t="shared" si="50"/>
        <v>-37030.449999999997</v>
      </c>
      <c r="Y82" s="2"/>
      <c r="Z82" s="6">
        <f t="shared" si="51"/>
        <v>-0.40872461368653418</v>
      </c>
    </row>
    <row r="83" spans="1:26" s="24" customFormat="1" hidden="1" outlineLevel="2" x14ac:dyDescent="0.25">
      <c r="A83" s="27"/>
      <c r="B83" s="11" t="str">
        <f>CONCATENATE("          ", "6237", " - ", "JANITORIAL SUPPLIES")</f>
        <v xml:space="preserve">          6237 - JANITORIAL SUPPLIES</v>
      </c>
      <c r="C83" s="11"/>
      <c r="D83" s="7">
        <v>648.99</v>
      </c>
      <c r="E83" s="2"/>
      <c r="F83" s="6">
        <f t="shared" si="44"/>
        <v>7.667437439126225E-3</v>
      </c>
      <c r="G83" s="2"/>
      <c r="H83" s="7">
        <v>9000</v>
      </c>
      <c r="I83" s="2"/>
      <c r="J83" s="6">
        <f t="shared" si="45"/>
        <v>1.6143700459019215E-2</v>
      </c>
      <c r="K83" s="2"/>
      <c r="L83" s="7">
        <f t="shared" si="46"/>
        <v>-8351.01</v>
      </c>
      <c r="M83" s="2"/>
      <c r="N83" s="6">
        <f t="shared" si="47"/>
        <v>-0.92788999999999999</v>
      </c>
      <c r="O83" s="11"/>
      <c r="P83" s="7">
        <v>17884.8</v>
      </c>
      <c r="Q83" s="2"/>
      <c r="R83" s="6">
        <f t="shared" si="48"/>
        <v>2.3551430268610327E-2</v>
      </c>
      <c r="S83" s="2"/>
      <c r="T83" s="7">
        <v>68000</v>
      </c>
      <c r="U83" s="2"/>
      <c r="V83" s="6">
        <f t="shared" si="49"/>
        <v>2.5706037100616076E-2</v>
      </c>
      <c r="W83" s="2"/>
      <c r="X83" s="7">
        <f t="shared" si="50"/>
        <v>-50115.199999999997</v>
      </c>
      <c r="Y83" s="2"/>
      <c r="Z83" s="6">
        <f t="shared" si="51"/>
        <v>-0.73698823529411761</v>
      </c>
    </row>
    <row r="84" spans="1:26" s="24" customFormat="1" hidden="1" outlineLevel="2" x14ac:dyDescent="0.25">
      <c r="A84" s="27"/>
      <c r="B84" s="11" t="str">
        <f>CONCATENATE("          ", "6239", " - ", "KITCHEN SUPPLIES")</f>
        <v xml:space="preserve">          6239 - KITCHEN SUPPLIES</v>
      </c>
      <c r="C84" s="11"/>
      <c r="D84" s="7">
        <v>253.3</v>
      </c>
      <c r="E84" s="2"/>
      <c r="F84" s="6">
        <f t="shared" si="44"/>
        <v>2.9925914164019058E-3</v>
      </c>
      <c r="G84" s="2"/>
      <c r="H84" s="7">
        <v>2300</v>
      </c>
      <c r="I84" s="2"/>
      <c r="J84" s="6">
        <f t="shared" si="45"/>
        <v>4.1256123395271328E-3</v>
      </c>
      <c r="K84" s="2"/>
      <c r="L84" s="7">
        <f t="shared" si="46"/>
        <v>-2046.7</v>
      </c>
      <c r="M84" s="2"/>
      <c r="N84" s="6">
        <f t="shared" si="47"/>
        <v>-0.88986956521739136</v>
      </c>
      <c r="O84" s="11"/>
      <c r="P84" s="7">
        <v>7047.33</v>
      </c>
      <c r="Q84" s="2"/>
      <c r="R84" s="6">
        <f t="shared" si="48"/>
        <v>9.2802100708358846E-3</v>
      </c>
      <c r="S84" s="2"/>
      <c r="T84" s="7">
        <v>17600</v>
      </c>
      <c r="U84" s="2"/>
      <c r="V84" s="6">
        <f t="shared" si="49"/>
        <v>6.6533272495712193E-3</v>
      </c>
      <c r="W84" s="2"/>
      <c r="X84" s="7">
        <f t="shared" si="50"/>
        <v>-10552.67</v>
      </c>
      <c r="Y84" s="2"/>
      <c r="Z84" s="6">
        <f t="shared" si="51"/>
        <v>-0.59958352272727278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7">
        <v>1048.1199999999999</v>
      </c>
      <c r="E85" s="2"/>
      <c r="F85" s="6">
        <f t="shared" si="44"/>
        <v>1.2382925050766541E-2</v>
      </c>
      <c r="G85" s="2"/>
      <c r="H85" s="7">
        <v>1000</v>
      </c>
      <c r="I85" s="2"/>
      <c r="J85" s="6">
        <f t="shared" si="45"/>
        <v>1.7937444954465795E-3</v>
      </c>
      <c r="K85" s="2"/>
      <c r="L85" s="7">
        <f t="shared" si="46"/>
        <v>48.119999999999891</v>
      </c>
      <c r="M85" s="2"/>
      <c r="N85" s="6">
        <f t="shared" si="47"/>
        <v>4.8119999999999892E-2</v>
      </c>
      <c r="O85" s="11"/>
      <c r="P85" s="7">
        <v>5315.61</v>
      </c>
      <c r="Q85" s="2"/>
      <c r="R85" s="6">
        <f t="shared" si="48"/>
        <v>6.999810914862215E-3</v>
      </c>
      <c r="S85" s="2"/>
      <c r="T85" s="7">
        <v>7750</v>
      </c>
      <c r="U85" s="2"/>
      <c r="V85" s="6">
        <f t="shared" si="49"/>
        <v>2.9297321695555085E-3</v>
      </c>
      <c r="W85" s="2"/>
      <c r="X85" s="7">
        <f t="shared" si="50"/>
        <v>-2434.3900000000003</v>
      </c>
      <c r="Y85" s="2"/>
      <c r="Z85" s="6">
        <f t="shared" si="51"/>
        <v>-0.31411483870967744</v>
      </c>
    </row>
    <row r="86" spans="1:26" s="24" customFormat="1" hidden="1" outlineLevel="2" x14ac:dyDescent="0.25">
      <c r="A86" s="27"/>
      <c r="B86" s="11" t="str">
        <f>CONCATENATE("          ", "6243", " - ", "PAPER SUPPLIES")</f>
        <v xml:space="preserve">          6243 - PAPER SUPPLIES</v>
      </c>
      <c r="C86" s="11"/>
      <c r="D86" s="7">
        <v>7200.74</v>
      </c>
      <c r="E86" s="2"/>
      <c r="F86" s="6">
        <f t="shared" si="44"/>
        <v>8.507253342179967E-2</v>
      </c>
      <c r="G86" s="2"/>
      <c r="H86" s="7">
        <v>500</v>
      </c>
      <c r="I86" s="2"/>
      <c r="J86" s="6">
        <f t="shared" si="45"/>
        <v>8.9687224772328974E-4</v>
      </c>
      <c r="K86" s="2"/>
      <c r="L86" s="7">
        <f t="shared" si="46"/>
        <v>6700.74</v>
      </c>
      <c r="M86" s="2"/>
      <c r="N86" s="6">
        <f t="shared" si="47"/>
        <v>13.401479999999999</v>
      </c>
      <c r="O86" s="11"/>
      <c r="P86" s="7">
        <v>24253.489999999998</v>
      </c>
      <c r="Q86" s="2"/>
      <c r="R86" s="6">
        <f t="shared" si="48"/>
        <v>3.1937979653417312E-2</v>
      </c>
      <c r="S86" s="2"/>
      <c r="T86" s="7">
        <v>4000</v>
      </c>
      <c r="U86" s="2"/>
      <c r="V86" s="6">
        <f t="shared" si="49"/>
        <v>1.5121198294480043E-3</v>
      </c>
      <c r="W86" s="2"/>
      <c r="X86" s="7">
        <f t="shared" si="50"/>
        <v>20253.489999999998</v>
      </c>
      <c r="Y86" s="2"/>
      <c r="Z86" s="6">
        <f t="shared" si="51"/>
        <v>5.0633724999999998</v>
      </c>
    </row>
    <row r="87" spans="1:26" s="24" customFormat="1" hidden="1" outlineLevel="2" x14ac:dyDescent="0.25">
      <c r="A87" s="27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100</v>
      </c>
      <c r="I87" s="2"/>
      <c r="J87" s="6">
        <f t="shared" si="45"/>
        <v>1.7937444954465795E-4</v>
      </c>
      <c r="K87" s="2"/>
      <c r="L87" s="7">
        <f t="shared" si="46"/>
        <v>-100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1080</v>
      </c>
      <c r="U87" s="2"/>
      <c r="V87" s="6">
        <f t="shared" si="49"/>
        <v>4.082723539509612E-4</v>
      </c>
      <c r="W87" s="2"/>
      <c r="X87" s="7">
        <f t="shared" si="50"/>
        <v>-1080</v>
      </c>
      <c r="Y87" s="2"/>
      <c r="Z87" s="6">
        <f t="shared" si="51"/>
        <v>-1</v>
      </c>
    </row>
    <row r="88" spans="1:26" s="24" customFormat="1" hidden="1" outlineLevel="2" x14ac:dyDescent="0.25">
      <c r="A88" s="27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2.6906167431698692E-4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2200</v>
      </c>
      <c r="U88" s="2"/>
      <c r="V88" s="6">
        <f t="shared" si="49"/>
        <v>8.3166590619640241E-4</v>
      </c>
      <c r="W88" s="2"/>
      <c r="X88" s="7">
        <f t="shared" si="50"/>
        <v>-2200</v>
      </c>
      <c r="Y88" s="2"/>
      <c r="Z88" s="6">
        <f t="shared" si="51"/>
        <v>-1</v>
      </c>
    </row>
    <row r="89" spans="1:26" s="24" customFormat="1" hidden="1" outlineLevel="2" x14ac:dyDescent="0.25">
      <c r="A89" s="27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3.228740091803843E-5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126</v>
      </c>
      <c r="U89" s="2"/>
      <c r="V89" s="6">
        <f t="shared" si="49"/>
        <v>4.7631774627612141E-5</v>
      </c>
      <c r="W89" s="2"/>
      <c r="X89" s="7">
        <f t="shared" si="50"/>
        <v>-126</v>
      </c>
      <c r="Y89" s="2"/>
      <c r="Z89" s="6">
        <f t="shared" si="51"/>
        <v>-1</v>
      </c>
    </row>
    <row r="90" spans="1:26" s="24" customFormat="1" hidden="1" outlineLevel="2" x14ac:dyDescent="0.25">
      <c r="A90" s="27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500</v>
      </c>
      <c r="I90" s="2"/>
      <c r="J90" s="6">
        <f t="shared" si="45"/>
        <v>8.9687224772328974E-4</v>
      </c>
      <c r="K90" s="2"/>
      <c r="L90" s="7">
        <f t="shared" si="46"/>
        <v>-500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5.926559511574352E-3</v>
      </c>
      <c r="S90" s="2"/>
      <c r="T90" s="7">
        <v>9850</v>
      </c>
      <c r="U90" s="2"/>
      <c r="V90" s="6">
        <f t="shared" si="49"/>
        <v>3.7235950800157108E-3</v>
      </c>
      <c r="W90" s="2"/>
      <c r="X90" s="7">
        <f t="shared" si="50"/>
        <v>-5349.41</v>
      </c>
      <c r="Y90" s="2"/>
      <c r="Z90" s="6">
        <f t="shared" si="51"/>
        <v>-0.54308730964467</v>
      </c>
    </row>
    <row r="91" spans="1:26" s="28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SUM(OSRRefD22_16x_0)</f>
        <v>248</v>
      </c>
      <c r="E91" s="1"/>
      <c r="F91" s="5">
        <f t="shared" ref="F91:F93" si="52">IF(D$12=0,0,D91/D$12)</f>
        <v>2.9299750148743487E-3</v>
      </c>
      <c r="G91" s="1"/>
      <c r="H91" s="1">
        <f>SUM(OSRRefH22_16x_0)</f>
        <v>725</v>
      </c>
      <c r="I91" s="1"/>
      <c r="J91" s="5">
        <f t="shared" ref="J91:J93" si="53">IF(H$12=0,0,H91/H$12)</f>
        <v>1.3004647591987701E-3</v>
      </c>
      <c r="K91" s="1"/>
      <c r="L91" s="1">
        <f t="shared" ref="L91:L93" si="54">+D91-H91</f>
        <v>-477</v>
      </c>
      <c r="M91" s="1"/>
      <c r="N91" s="5">
        <f t="shared" ref="N91:N93" si="55">IF(H91=0,0,L91/H91)</f>
        <v>-0.65793103448275858</v>
      </c>
      <c r="O91" s="14"/>
      <c r="P91" s="1">
        <f>SUM(OSRRefP22_16x_0)</f>
        <v>4279.32</v>
      </c>
      <c r="Q91" s="1"/>
      <c r="R91" s="5">
        <f t="shared" ref="R91:R93" si="56">IF(P$12=0,0,P91/P$12)</f>
        <v>5.6351821981274345E-3</v>
      </c>
      <c r="S91" s="1"/>
      <c r="T91" s="1">
        <f>SUM(OSRRefT22_16x_0)</f>
        <v>5800</v>
      </c>
      <c r="U91" s="1"/>
      <c r="V91" s="5">
        <f t="shared" ref="V91:V93" si="57">IF(T$12=0,0,T91/T$12)</f>
        <v>2.1925737526996064E-3</v>
      </c>
      <c r="W91" s="1"/>
      <c r="X91" s="1">
        <f t="shared" ref="X91:X93" si="58">+P91-T91</f>
        <v>-1520.6800000000003</v>
      </c>
      <c r="Y91" s="1"/>
      <c r="Z91" s="5">
        <f t="shared" ref="Z91:Z93" si="59">IF(T91=0,0,X91/T91)</f>
        <v>-0.26218620689655175</v>
      </c>
    </row>
    <row r="92" spans="1:26" s="24" customFormat="1" hidden="1" outlineLevel="2" x14ac:dyDescent="0.25">
      <c r="A92" s="27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8.9687224772328974E-4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4000</v>
      </c>
      <c r="U92" s="2"/>
      <c r="V92" s="6">
        <f t="shared" si="57"/>
        <v>1.5121198294480043E-3</v>
      </c>
      <c r="W92" s="2"/>
      <c r="X92" s="7">
        <f t="shared" si="58"/>
        <v>-4000</v>
      </c>
      <c r="Y92" s="2"/>
      <c r="Z92" s="6">
        <f t="shared" si="59"/>
        <v>-1</v>
      </c>
    </row>
    <row r="93" spans="1:26" s="24" customFormat="1" hidden="1" outlineLevel="2" x14ac:dyDescent="0.25">
      <c r="A93" s="27"/>
      <c r="B93" s="11" t="str">
        <f>CONCATENATE("          ", "6309", " - ", "TELEPHONE")</f>
        <v xml:space="preserve">          6309 - TELEPHONE</v>
      </c>
      <c r="C93" s="11"/>
      <c r="D93" s="7">
        <v>248</v>
      </c>
      <c r="E93" s="2"/>
      <c r="F93" s="6">
        <f t="shared" si="52"/>
        <v>2.9299750148743487E-3</v>
      </c>
      <c r="G93" s="2"/>
      <c r="H93" s="7">
        <v>225</v>
      </c>
      <c r="I93" s="2"/>
      <c r="J93" s="6">
        <f t="shared" si="53"/>
        <v>4.0359251147548039E-4</v>
      </c>
      <c r="K93" s="2"/>
      <c r="L93" s="7">
        <f t="shared" si="54"/>
        <v>23</v>
      </c>
      <c r="M93" s="2"/>
      <c r="N93" s="6">
        <f t="shared" si="55"/>
        <v>0.10222222222222223</v>
      </c>
      <c r="O93" s="11"/>
      <c r="P93" s="7">
        <v>4279.32</v>
      </c>
      <c r="Q93" s="2"/>
      <c r="R93" s="6">
        <f t="shared" si="56"/>
        <v>5.6351821981274345E-3</v>
      </c>
      <c r="S93" s="2"/>
      <c r="T93" s="7">
        <v>1800</v>
      </c>
      <c r="U93" s="2"/>
      <c r="V93" s="6">
        <f t="shared" si="57"/>
        <v>6.8045392325160204E-4</v>
      </c>
      <c r="W93" s="2"/>
      <c r="X93" s="7">
        <f t="shared" si="58"/>
        <v>2479.3199999999997</v>
      </c>
      <c r="Y93" s="2"/>
      <c r="Z93" s="6">
        <f t="shared" si="59"/>
        <v>1.3773999999999997</v>
      </c>
    </row>
    <row r="94" spans="1:26" s="28" customFormat="1" outlineLevel="1" collapsed="1" x14ac:dyDescent="0.25">
      <c r="A94" s="29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SUM(OSRRefD22_17x_0)</f>
        <v>0</v>
      </c>
      <c r="E94" s="1"/>
      <c r="F94" s="5">
        <f t="shared" ref="F94:F97" si="60">IF(D$12=0,0,D94/D$12)</f>
        <v>0</v>
      </c>
      <c r="G94" s="1"/>
      <c r="H94" s="1">
        <f>SUM(OSRRefH22_17x_0)</f>
        <v>750</v>
      </c>
      <c r="I94" s="1"/>
      <c r="J94" s="5">
        <f t="shared" ref="J94:J97" si="61">IF(H$12=0,0,H94/H$12)</f>
        <v>1.3453083715849346E-3</v>
      </c>
      <c r="K94" s="1"/>
      <c r="L94" s="1">
        <f t="shared" ref="L94:L97" si="62">+D94-H94</f>
        <v>-750</v>
      </c>
      <c r="M94" s="1"/>
      <c r="N94" s="5">
        <f t="shared" ref="N94:N97" si="63">IF(H94=0,0,L94/H94)</f>
        <v>-1</v>
      </c>
      <c r="O94" s="14"/>
      <c r="P94" s="1">
        <f>SUM(OSRRefP22_17x_0)</f>
        <v>735</v>
      </c>
      <c r="Q94" s="1"/>
      <c r="R94" s="5">
        <f t="shared" ref="R94:R97" si="64">IF(P$12=0,0,P94/P$12)</f>
        <v>9.6787782068732064E-4</v>
      </c>
      <c r="S94" s="1"/>
      <c r="T94" s="1">
        <f>SUM(OSRRefT22_17x_0)</f>
        <v>7150</v>
      </c>
      <c r="U94" s="1"/>
      <c r="V94" s="5">
        <f t="shared" ref="V94:V97" si="65">IF(T$12=0,0,T94/T$12)</f>
        <v>2.7029141951383081E-3</v>
      </c>
      <c r="W94" s="1"/>
      <c r="X94" s="1">
        <f t="shared" ref="X94:X97" si="66">+P94-T94</f>
        <v>-6415</v>
      </c>
      <c r="Y94" s="1"/>
      <c r="Z94" s="5">
        <f t="shared" ref="Z94:Z97" si="67">IF(T94=0,0,X94/T94)</f>
        <v>-0.89720279720279716</v>
      </c>
    </row>
    <row r="95" spans="1:26" s="24" customFormat="1" hidden="1" outlineLevel="2" x14ac:dyDescent="0.25">
      <c r="A95" s="27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60"/>
        <v>0</v>
      </c>
      <c r="G95" s="2"/>
      <c r="H95" s="7">
        <v>750</v>
      </c>
      <c r="I95" s="2"/>
      <c r="J95" s="6">
        <f t="shared" si="61"/>
        <v>1.3453083715849346E-3</v>
      </c>
      <c r="K95" s="2"/>
      <c r="L95" s="7">
        <f t="shared" si="62"/>
        <v>-750</v>
      </c>
      <c r="M95" s="2"/>
      <c r="N95" s="6">
        <f t="shared" si="63"/>
        <v>-1</v>
      </c>
      <c r="O95" s="11"/>
      <c r="P95" s="7">
        <v>735</v>
      </c>
      <c r="Q95" s="2"/>
      <c r="R95" s="6">
        <f t="shared" si="64"/>
        <v>9.6787782068732064E-4</v>
      </c>
      <c r="S95" s="2"/>
      <c r="T95" s="7">
        <v>7150</v>
      </c>
      <c r="U95" s="2"/>
      <c r="V95" s="6">
        <f t="shared" si="65"/>
        <v>2.7029141951383081E-3</v>
      </c>
      <c r="W95" s="2"/>
      <c r="X95" s="7">
        <f t="shared" si="66"/>
        <v>-6415</v>
      </c>
      <c r="Y95" s="2"/>
      <c r="Z95" s="6">
        <f t="shared" si="67"/>
        <v>-0.89720279720279716</v>
      </c>
    </row>
    <row r="96" spans="1:26" s="28" customFormat="1" outlineLevel="1" collapsed="1" x14ac:dyDescent="0.25">
      <c r="A96" s="29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5.3812334863397385E-4</v>
      </c>
      <c r="K96" s="1"/>
      <c r="L96" s="1">
        <f t="shared" si="62"/>
        <v>-300</v>
      </c>
      <c r="M96" s="1"/>
      <c r="N96" s="5">
        <f t="shared" si="63"/>
        <v>-1</v>
      </c>
      <c r="O96" s="14"/>
      <c r="P96" s="1">
        <f>SUM(OSRRefP22_18x_0)</f>
        <v>0</v>
      </c>
      <c r="Q96" s="1"/>
      <c r="R96" s="5">
        <f t="shared" si="64"/>
        <v>0</v>
      </c>
      <c r="S96" s="1"/>
      <c r="T96" s="1">
        <f>SUM(OSRRefT22_18x_0)</f>
        <v>2400</v>
      </c>
      <c r="U96" s="1"/>
      <c r="V96" s="5">
        <f t="shared" si="65"/>
        <v>9.0727189766880265E-4</v>
      </c>
      <c r="W96" s="1"/>
      <c r="X96" s="1">
        <f t="shared" si="66"/>
        <v>-2400</v>
      </c>
      <c r="Y96" s="1"/>
      <c r="Z96" s="5">
        <f t="shared" si="67"/>
        <v>-1</v>
      </c>
    </row>
    <row r="97" spans="1:26" s="24" customFormat="1" hidden="1" outlineLevel="2" x14ac:dyDescent="0.25">
      <c r="A97" s="27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5.3812334863397385E-4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2400</v>
      </c>
      <c r="U97" s="2"/>
      <c r="V97" s="6">
        <f t="shared" si="65"/>
        <v>9.0727189766880265E-4</v>
      </c>
      <c r="W97" s="2"/>
      <c r="X97" s="7">
        <f t="shared" si="66"/>
        <v>-2400</v>
      </c>
      <c r="Y97" s="2"/>
      <c r="Z97" s="6">
        <f t="shared" si="67"/>
        <v>-1</v>
      </c>
    </row>
    <row r="98" spans="1:26" s="58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6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19">
        <f>+D23-D25+D99</f>
        <v>-169656.61</v>
      </c>
      <c r="E101" s="13"/>
      <c r="F101" s="21">
        <f>IF(D$12=0,0,D101/D$12)</f>
        <v>-2.0043936629366192</v>
      </c>
      <c r="G101" s="13"/>
      <c r="H101" s="19">
        <f>+H23-H25+H99</f>
        <v>-3856.30082537618</v>
      </c>
      <c r="I101" s="13"/>
      <c r="J101" s="21">
        <f>IF(H$12=0,0,H101/H$12)</f>
        <v>-6.9172183783046248E-3</v>
      </c>
      <c r="K101" s="15"/>
      <c r="L101" s="19">
        <f>+D101-H101</f>
        <v>-165800.30917462381</v>
      </c>
      <c r="M101" s="15"/>
      <c r="N101" s="21">
        <f>IF(H101=0,0,L101/H101)</f>
        <v>42.994651268797234</v>
      </c>
      <c r="O101" s="26"/>
      <c r="P101" s="19">
        <f>+P23-P25+P99</f>
        <v>-1363199.0400000003</v>
      </c>
      <c r="Q101" s="13"/>
      <c r="R101" s="21">
        <f>IF(P$12=0,0,P101/P$12)</f>
        <v>-1.7951158040792488</v>
      </c>
      <c r="S101" s="13"/>
      <c r="T101" s="19">
        <f>+T23-T25+T99</f>
        <v>-987274.33876460372</v>
      </c>
      <c r="U101" s="13"/>
      <c r="V101" s="21">
        <f>IF(T$12=0,0,T101/T$12)</f>
        <v>-0.373219276187781</v>
      </c>
      <c r="W101" s="15"/>
      <c r="X101" s="19">
        <f>+P101-T101</f>
        <v>-375924.70123539655</v>
      </c>
      <c r="Y101" s="15"/>
      <c r="Z101" s="21">
        <f>IF(T101=0,0,X101/T101)</f>
        <v>0.38077025450271373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27901.9</v>
      </c>
      <c r="E103" s="4"/>
      <c r="F103" s="12">
        <f>IF(D$12=0,0,D103/D$12)</f>
        <v>0.32964463656259113</v>
      </c>
      <c r="G103" s="4"/>
      <c r="H103" s="4">
        <v>92614</v>
      </c>
      <c r="I103" s="4"/>
      <c r="J103" s="12">
        <f>IF(H$12=0,0,H103/H$12)</f>
        <v>0.16612585270128952</v>
      </c>
      <c r="K103" s="4"/>
      <c r="L103" s="4">
        <f>+D103-H103</f>
        <v>-64712.1</v>
      </c>
      <c r="M103" s="4"/>
      <c r="N103" s="12">
        <f>IF(H103=0,0,L103/H103)</f>
        <v>-0.69872913382425983</v>
      </c>
      <c r="O103" s="10"/>
      <c r="P103" s="4">
        <v>150387.06</v>
      </c>
      <c r="Q103" s="4"/>
      <c r="R103" s="12">
        <f>IF(P$12=0,0,P103/P$12)</f>
        <v>0.19803578216649431</v>
      </c>
      <c r="S103" s="4"/>
      <c r="T103" s="4">
        <v>454934</v>
      </c>
      <c r="U103" s="4"/>
      <c r="V103" s="12">
        <f>IF(T$12=0,0,T103/T$12)</f>
        <v>0.17197868062252461</v>
      </c>
      <c r="W103" s="4"/>
      <c r="X103" s="4">
        <f>+P103-T103</f>
        <v>-304546.94</v>
      </c>
      <c r="Y103" s="4"/>
      <c r="Z103" s="12">
        <f>IF(T103=0,0,X103/T103)</f>
        <v>-0.66943103834841977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-197558.50999999998</v>
      </c>
      <c r="E105" s="13"/>
      <c r="F105" s="30">
        <f>IF(D$12=0,0,D105/D$12)</f>
        <v>-2.3340382994992104</v>
      </c>
      <c r="G105" s="13"/>
      <c r="H105" s="34">
        <f>+H101-H103</f>
        <v>-96470.30082537618</v>
      </c>
      <c r="I105" s="13"/>
      <c r="J105" s="30">
        <f>IF(H$12=0,0,H105/H$12)</f>
        <v>-0.17304307107959416</v>
      </c>
      <c r="K105" s="15"/>
      <c r="L105" s="34">
        <f>D105-H105</f>
        <v>-101088.2091746238</v>
      </c>
      <c r="M105" s="15"/>
      <c r="N105" s="30">
        <f>IF(H105=0,0,L105/H105)</f>
        <v>1.0478687047696331</v>
      </c>
      <c r="O105" s="26"/>
      <c r="P105" s="34">
        <f>+P101-P103</f>
        <v>-1513586.1000000003</v>
      </c>
      <c r="Q105" s="13"/>
      <c r="R105" s="30">
        <f>IF(P$12=0,0,P105/P$12)</f>
        <v>-1.9931515862457432</v>
      </c>
      <c r="S105" s="13"/>
      <c r="T105" s="34">
        <f>+T101-T103</f>
        <v>-1442208.3387646037</v>
      </c>
      <c r="U105" s="13"/>
      <c r="V105" s="30">
        <f>IF(T$12=0,0,T105/T$12)</f>
        <v>-0.54519795681030558</v>
      </c>
      <c r="W105" s="15"/>
      <c r="X105" s="34">
        <f>P105-T105</f>
        <v>-71377.761235396611</v>
      </c>
      <c r="Y105" s="15"/>
      <c r="Z105" s="30">
        <f>IF(T105=0,0,X105/T105)</f>
        <v>4.9491990385063807E-2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5">
        <f>SUM(D105:D107)</f>
        <v>-197558.50999999998</v>
      </c>
      <c r="E108" s="13"/>
      <c r="F108" s="31">
        <f>IF(D$12=0,0,D108/D$12)</f>
        <v>-2.3340382994992104</v>
      </c>
      <c r="G108" s="13"/>
      <c r="H108" s="35">
        <f>SUM(H105:H107)</f>
        <v>-96470.30082537618</v>
      </c>
      <c r="I108" s="13"/>
      <c r="J108" s="31">
        <f>IF(H$12=0,0,H108/H$12)</f>
        <v>-0.17304307107959416</v>
      </c>
      <c r="K108" s="15"/>
      <c r="L108" s="35">
        <f>+D108-H108</f>
        <v>-101088.2091746238</v>
      </c>
      <c r="M108" s="15"/>
      <c r="N108" s="31">
        <f>IF(H108=0,0,L108/H108)</f>
        <v>1.0478687047696331</v>
      </c>
      <c r="O108" s="26"/>
      <c r="P108" s="35">
        <f>SUM(P105:P107)</f>
        <v>-1513586.1000000003</v>
      </c>
      <c r="Q108" s="13"/>
      <c r="R108" s="31">
        <f>IF(P$12=0,0,P108/P$12)</f>
        <v>-1.9931515862457432</v>
      </c>
      <c r="S108" s="13"/>
      <c r="T108" s="35">
        <f>SUM(T105:T107)</f>
        <v>-1442208.3387646037</v>
      </c>
      <c r="U108" s="13"/>
      <c r="V108" s="31">
        <f>IF(T$12=0,0,T108/T$12)</f>
        <v>-0.54519795681030558</v>
      </c>
      <c r="W108" s="15"/>
      <c r="X108" s="35">
        <f>+P108-T108</f>
        <v>-71377.761235396611</v>
      </c>
      <c r="Y108" s="15"/>
      <c r="Z108" s="31">
        <f>IF(T108=0,0,X108/T108)</f>
        <v>4.9491990385063807E-2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3">
        <v>44267.671517789349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62" t="s">
        <v>314</v>
      </c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7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17844.22</v>
      </c>
      <c r="E18" s="20"/>
      <c r="F18" s="33">
        <f t="shared" ref="F18:F28" si="0">IF(D$12=0,0,D18/D$12)</f>
        <v>0</v>
      </c>
      <c r="G18" s="20"/>
      <c r="H18" s="20">
        <f>SUM(OSRRefH22x_0)</f>
        <v>54046.532740000002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-36202.312740000001</v>
      </c>
      <c r="M18" s="4"/>
      <c r="N18" s="33">
        <f t="shared" ref="N18:N28" si="3">IF(H18=0,0,L18/H18)</f>
        <v>-0.66983598955657997</v>
      </c>
      <c r="O18" s="10"/>
      <c r="P18" s="20">
        <f>SUM(OSRRefP22x_0)</f>
        <v>135791.74</v>
      </c>
      <c r="Q18" s="20"/>
      <c r="R18" s="33">
        <f t="shared" ref="R18:R28" si="4">IF(P$12=0,0,P18/P$12)</f>
        <v>0</v>
      </c>
      <c r="S18" s="20"/>
      <c r="T18" s="20">
        <f>SUM(OSRRefT22x_0)</f>
        <v>158773.411475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-22981.67147500001</v>
      </c>
      <c r="Y18" s="4"/>
      <c r="Z18" s="33">
        <f t="shared" ref="Z18:Z28" si="7">IF(T18=0,0,X18/T18)</f>
        <v>-0.1447450883715416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5309.6799999999994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1018.2472599999992</v>
      </c>
      <c r="M19" s="1"/>
      <c r="N19" s="5">
        <f t="shared" si="3"/>
        <v>0.23727443063688775</v>
      </c>
      <c r="O19" s="14"/>
      <c r="P19" s="1">
        <f>SUM(OSRRefP22_0x_0)</f>
        <v>46780.53</v>
      </c>
      <c r="Q19" s="1"/>
      <c r="R19" s="5">
        <f t="shared" si="4"/>
        <v>0</v>
      </c>
      <c r="S19" s="1"/>
      <c r="T19" s="1">
        <f>SUM(OSRRefT22_0x_0)</f>
        <v>36065.036475000001</v>
      </c>
      <c r="U19" s="1"/>
      <c r="V19" s="5">
        <f t="shared" si="5"/>
        <v>0</v>
      </c>
      <c r="W19" s="1"/>
      <c r="X19" s="1">
        <f t="shared" si="6"/>
        <v>10715.493524999998</v>
      </c>
      <c r="Y19" s="1"/>
      <c r="Z19" s="5">
        <f t="shared" si="7"/>
        <v>0.29711583772909517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685.55574000000001</v>
      </c>
      <c r="I20" s="2"/>
      <c r="J20" s="6">
        <f t="shared" si="1"/>
        <v>0</v>
      </c>
      <c r="K20" s="2"/>
      <c r="L20" s="7">
        <f t="shared" si="2"/>
        <v>5.5942599999999629</v>
      </c>
      <c r="M20" s="2"/>
      <c r="N20" s="6">
        <f t="shared" si="3"/>
        <v>8.16018256954564E-3</v>
      </c>
      <c r="O20" s="11"/>
      <c r="P20" s="7">
        <v>6054.8</v>
      </c>
      <c r="Q20" s="2"/>
      <c r="R20" s="6">
        <f t="shared" si="4"/>
        <v>0</v>
      </c>
      <c r="S20" s="2"/>
      <c r="T20" s="7">
        <v>5998.612725</v>
      </c>
      <c r="U20" s="2"/>
      <c r="V20" s="6">
        <f t="shared" si="5"/>
        <v>0</v>
      </c>
      <c r="W20" s="2"/>
      <c r="X20" s="7">
        <f t="shared" si="6"/>
        <v>56.187275000000227</v>
      </c>
      <c r="Y20" s="2"/>
      <c r="Z20" s="6">
        <f t="shared" si="7"/>
        <v>9.3667115341239549E-3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387.58</v>
      </c>
      <c r="E21" s="2"/>
      <c r="F21" s="6">
        <f t="shared" si="0"/>
        <v>0</v>
      </c>
      <c r="G21" s="2"/>
      <c r="H21" s="7">
        <v>384.29820000000001</v>
      </c>
      <c r="I21" s="2"/>
      <c r="J21" s="6">
        <f t="shared" si="1"/>
        <v>0</v>
      </c>
      <c r="K21" s="2"/>
      <c r="L21" s="7">
        <f t="shared" si="2"/>
        <v>3.2817999999999756</v>
      </c>
      <c r="M21" s="2"/>
      <c r="N21" s="6">
        <f t="shared" si="3"/>
        <v>8.5397225383828899E-3</v>
      </c>
      <c r="O21" s="11"/>
      <c r="P21" s="7">
        <v>3385.93</v>
      </c>
      <c r="Q21" s="2"/>
      <c r="R21" s="6">
        <f t="shared" si="4"/>
        <v>0</v>
      </c>
      <c r="S21" s="2"/>
      <c r="T21" s="7">
        <v>3362.60925</v>
      </c>
      <c r="U21" s="2"/>
      <c r="V21" s="6">
        <f t="shared" si="5"/>
        <v>0</v>
      </c>
      <c r="W21" s="2"/>
      <c r="X21" s="7">
        <f t="shared" si="6"/>
        <v>23.320749999999862</v>
      </c>
      <c r="Y21" s="2"/>
      <c r="Z21" s="6">
        <f t="shared" si="7"/>
        <v>6.9353137002165395E-3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2691.73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711.73</v>
      </c>
      <c r="M22" s="2"/>
      <c r="N22" s="6">
        <f t="shared" si="3"/>
        <v>0.35945959595959598</v>
      </c>
      <c r="O22" s="11"/>
      <c r="P22" s="7">
        <v>21810.86</v>
      </c>
      <c r="Q22" s="2"/>
      <c r="R22" s="6">
        <f t="shared" si="4"/>
        <v>0</v>
      </c>
      <c r="S22" s="2"/>
      <c r="T22" s="7">
        <v>15840</v>
      </c>
      <c r="U22" s="2"/>
      <c r="V22" s="6">
        <f t="shared" si="5"/>
        <v>0</v>
      </c>
      <c r="W22" s="2"/>
      <c r="X22" s="7">
        <f t="shared" si="6"/>
        <v>5970.8600000000006</v>
      </c>
      <c r="Y22" s="2"/>
      <c r="Z22" s="6">
        <f t="shared" si="7"/>
        <v>0.37694823232323238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6">
        <f t="shared" si="0"/>
        <v>0</v>
      </c>
      <c r="G23" s="2"/>
      <c r="H23" s="7">
        <v>23.290800000000001</v>
      </c>
      <c r="I23" s="2"/>
      <c r="J23" s="6">
        <f t="shared" si="1"/>
        <v>0</v>
      </c>
      <c r="K23" s="2"/>
      <c r="L23" s="7">
        <f t="shared" si="2"/>
        <v>0.1991999999999976</v>
      </c>
      <c r="M23" s="2"/>
      <c r="N23" s="6">
        <f t="shared" si="3"/>
        <v>8.5527332680714104E-3</v>
      </c>
      <c r="O23" s="11"/>
      <c r="P23" s="7">
        <v>205.19</v>
      </c>
      <c r="Q23" s="2"/>
      <c r="R23" s="6">
        <f t="shared" si="4"/>
        <v>0</v>
      </c>
      <c r="S23" s="2"/>
      <c r="T23" s="7">
        <v>203.7945</v>
      </c>
      <c r="U23" s="2"/>
      <c r="V23" s="6">
        <f t="shared" si="5"/>
        <v>0</v>
      </c>
      <c r="W23" s="2"/>
      <c r="X23" s="7">
        <f t="shared" si="6"/>
        <v>1.3954999999999984</v>
      </c>
      <c r="Y23" s="2"/>
      <c r="Z23" s="6">
        <f t="shared" si="7"/>
        <v>6.8475842086022851E-3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770.38800000000003</v>
      </c>
      <c r="I24" s="2"/>
      <c r="J24" s="6">
        <f t="shared" si="1"/>
        <v>0</v>
      </c>
      <c r="K24" s="2"/>
      <c r="L24" s="7">
        <f t="shared" si="2"/>
        <v>-77.817999999999984</v>
      </c>
      <c r="M24" s="2"/>
      <c r="N24" s="6">
        <f t="shared" si="3"/>
        <v>-0.10101143839208293</v>
      </c>
      <c r="O24" s="11"/>
      <c r="P24" s="7">
        <v>6233.14</v>
      </c>
      <c r="Q24" s="2"/>
      <c r="R24" s="6">
        <f t="shared" si="4"/>
        <v>0</v>
      </c>
      <c r="S24" s="2"/>
      <c r="T24" s="7">
        <v>6740.8950000000004</v>
      </c>
      <c r="U24" s="2"/>
      <c r="V24" s="6">
        <f t="shared" si="5"/>
        <v>0</v>
      </c>
      <c r="W24" s="2"/>
      <c r="X24" s="7">
        <f t="shared" si="6"/>
        <v>-507.75500000000011</v>
      </c>
      <c r="Y24" s="2"/>
      <c r="Z24" s="6">
        <f t="shared" si="7"/>
        <v>-7.532456743503646E-2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409.9</v>
      </c>
      <c r="E26" s="2"/>
      <c r="F26" s="6">
        <f t="shared" si="0"/>
        <v>0</v>
      </c>
      <c r="G26" s="2"/>
      <c r="H26" s="7">
        <v>268.74</v>
      </c>
      <c r="I26" s="2"/>
      <c r="J26" s="6">
        <f t="shared" si="1"/>
        <v>0</v>
      </c>
      <c r="K26" s="2"/>
      <c r="L26" s="7">
        <f t="shared" si="2"/>
        <v>141.15999999999997</v>
      </c>
      <c r="M26" s="2"/>
      <c r="N26" s="6">
        <f t="shared" si="3"/>
        <v>0.52526605641140123</v>
      </c>
      <c r="O26" s="11"/>
      <c r="P26" s="7">
        <v>5409.9</v>
      </c>
      <c r="Q26" s="2"/>
      <c r="R26" s="6">
        <f t="shared" si="4"/>
        <v>0</v>
      </c>
      <c r="S26" s="2"/>
      <c r="T26" s="7">
        <v>2351.4749999999999</v>
      </c>
      <c r="U26" s="2"/>
      <c r="V26" s="6">
        <f t="shared" si="5"/>
        <v>0</v>
      </c>
      <c r="W26" s="2"/>
      <c r="X26" s="7">
        <f t="shared" si="6"/>
        <v>3058.4249999999997</v>
      </c>
      <c r="Y26" s="2"/>
      <c r="Z26" s="6">
        <f t="shared" si="7"/>
        <v>1.3006410869773226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179.16</v>
      </c>
      <c r="I27" s="2"/>
      <c r="J27" s="6">
        <f t="shared" si="1"/>
        <v>0</v>
      </c>
      <c r="K27" s="2"/>
      <c r="L27" s="7">
        <f t="shared" si="2"/>
        <v>234.1</v>
      </c>
      <c r="M27" s="2"/>
      <c r="N27" s="6">
        <f t="shared" si="3"/>
        <v>1.3066532708193792</v>
      </c>
      <c r="O27" s="11"/>
      <c r="P27" s="7">
        <v>3512.71</v>
      </c>
      <c r="Q27" s="2"/>
      <c r="R27" s="6">
        <f t="shared" si="4"/>
        <v>0</v>
      </c>
      <c r="S27" s="2"/>
      <c r="T27" s="7">
        <v>1567.65</v>
      </c>
      <c r="U27" s="2"/>
      <c r="V27" s="6">
        <f t="shared" si="5"/>
        <v>0</v>
      </c>
      <c r="W27" s="2"/>
      <c r="X27" s="7">
        <f t="shared" si="6"/>
        <v>1945.06</v>
      </c>
      <c r="Y27" s="2"/>
      <c r="Z27" s="6">
        <f t="shared" si="7"/>
        <v>1.2407488916531113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9034.5400000000009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524.44000000000051</v>
      </c>
      <c r="M29" s="1"/>
      <c r="N29" s="5">
        <f t="shared" ref="N29:N39" si="11">IF(H29=0,0,L29/H29)</f>
        <v>6.1625597819062114E-2</v>
      </c>
      <c r="O29" s="14"/>
      <c r="P29" s="1">
        <f>SUM(OSRRefP22_1x_0)</f>
        <v>73170.36</v>
      </c>
      <c r="Q29" s="1"/>
      <c r="R29" s="5">
        <f t="shared" ref="R29:R39" si="12">IF(P$12=0,0,P29/P$12)</f>
        <v>0</v>
      </c>
      <c r="S29" s="1"/>
      <c r="T29" s="1">
        <f>SUM(OSRRefT22_1x_0)</f>
        <v>74463.375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-1293.0149999999994</v>
      </c>
      <c r="Y29" s="1"/>
      <c r="Z29" s="5">
        <f t="shared" ref="Z29:Z39" si="15">IF(T29=0,0,X29/T29)</f>
        <v>-1.7364442586707888E-2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9034.5400000000009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9034.5400000000009</v>
      </c>
      <c r="M30" s="2"/>
      <c r="N30" s="6">
        <f t="shared" si="11"/>
        <v>0</v>
      </c>
      <c r="O30" s="11"/>
      <c r="P30" s="7">
        <v>73170.36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73170.36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8510.1</v>
      </c>
      <c r="I31" s="2"/>
      <c r="J31" s="6">
        <f t="shared" si="9"/>
        <v>0</v>
      </c>
      <c r="K31" s="2"/>
      <c r="L31" s="7">
        <f t="shared" si="10"/>
        <v>-8510.1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74463.375</v>
      </c>
      <c r="U31" s="2"/>
      <c r="V31" s="6">
        <f t="shared" si="13"/>
        <v>0</v>
      </c>
      <c r="W31" s="2"/>
      <c r="X31" s="7">
        <f t="shared" si="14"/>
        <v>-74463.375</v>
      </c>
      <c r="Y31" s="2"/>
      <c r="Z31" s="6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4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8" customFormat="1" outlineLevel="1" collapsed="1" x14ac:dyDescent="0.25">
      <c r="A42" s="29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40245</v>
      </c>
      <c r="I42" s="1"/>
      <c r="J42" s="5">
        <f t="shared" si="17"/>
        <v>0</v>
      </c>
      <c r="K42" s="1"/>
      <c r="L42" s="1">
        <f t="shared" si="18"/>
        <v>-36745</v>
      </c>
      <c r="M42" s="1"/>
      <c r="N42" s="5">
        <f t="shared" si="19"/>
        <v>-0.91303267486644302</v>
      </c>
      <c r="O42" s="14"/>
      <c r="P42" s="1">
        <f>SUM(OSRRefP22_3x_0)</f>
        <v>10500</v>
      </c>
      <c r="Q42" s="1"/>
      <c r="R42" s="5">
        <f t="shared" si="20"/>
        <v>0</v>
      </c>
      <c r="S42" s="1"/>
      <c r="T42" s="1">
        <f>SUM(OSRRefT22_3x_0)</f>
        <v>40245</v>
      </c>
      <c r="U42" s="1"/>
      <c r="V42" s="5">
        <f t="shared" si="21"/>
        <v>0</v>
      </c>
      <c r="W42" s="1"/>
      <c r="X42" s="1">
        <f t="shared" si="22"/>
        <v>-29745</v>
      </c>
      <c r="Y42" s="1"/>
      <c r="Z42" s="5">
        <f t="shared" si="23"/>
        <v>-0.73909802459932916</v>
      </c>
    </row>
    <row r="43" spans="1:26" s="24" customFormat="1" hidden="1" outlineLevel="2" x14ac:dyDescent="0.25">
      <c r="A43" s="27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>
        <v>40245</v>
      </c>
      <c r="I43" s="2"/>
      <c r="J43" s="6">
        <f t="shared" si="17"/>
        <v>0</v>
      </c>
      <c r="K43" s="2"/>
      <c r="L43" s="7">
        <f t="shared" si="18"/>
        <v>-36745</v>
      </c>
      <c r="M43" s="2"/>
      <c r="N43" s="6">
        <f t="shared" si="19"/>
        <v>-0.91303267486644302</v>
      </c>
      <c r="O43" s="11"/>
      <c r="P43" s="7">
        <v>10500</v>
      </c>
      <c r="Q43" s="2"/>
      <c r="R43" s="6">
        <f t="shared" si="20"/>
        <v>0</v>
      </c>
      <c r="S43" s="2"/>
      <c r="T43" s="7">
        <v>40245</v>
      </c>
      <c r="U43" s="2"/>
      <c r="V43" s="6">
        <f t="shared" si="21"/>
        <v>0</v>
      </c>
      <c r="W43" s="2"/>
      <c r="X43" s="7">
        <f t="shared" si="22"/>
        <v>-29745</v>
      </c>
      <c r="Y43" s="2"/>
      <c r="Z43" s="6">
        <f t="shared" si="23"/>
        <v>-0.73909802459932916</v>
      </c>
    </row>
    <row r="44" spans="1:26" s="28" customFormat="1" outlineLevel="1" collapsed="1" x14ac:dyDescent="0.25">
      <c r="A44" s="29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4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3200</v>
      </c>
      <c r="U44" s="1"/>
      <c r="V44" s="5">
        <f t="shared" si="21"/>
        <v>0</v>
      </c>
      <c r="W44" s="1"/>
      <c r="X44" s="1">
        <f t="shared" si="22"/>
        <v>1739.1999999999998</v>
      </c>
      <c r="Y44" s="1"/>
      <c r="Z44" s="5">
        <f t="shared" si="23"/>
        <v>0.54349999999999998</v>
      </c>
    </row>
    <row r="45" spans="1:26" s="24" customFormat="1" hidden="1" outlineLevel="2" x14ac:dyDescent="0.25">
      <c r="A45" s="27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800</v>
      </c>
      <c r="U45" s="2"/>
      <c r="V45" s="6">
        <f t="shared" si="21"/>
        <v>0</v>
      </c>
      <c r="W45" s="2"/>
      <c r="X45" s="7">
        <f t="shared" si="22"/>
        <v>-800</v>
      </c>
      <c r="Y45" s="2"/>
      <c r="Z45" s="6">
        <f t="shared" si="23"/>
        <v>-1</v>
      </c>
    </row>
    <row r="46" spans="1:26" s="24" customFormat="1" hidden="1" outlineLevel="2" x14ac:dyDescent="0.25">
      <c r="A46" s="27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1600</v>
      </c>
      <c r="U46" s="2"/>
      <c r="V46" s="6">
        <f t="shared" si="21"/>
        <v>0</v>
      </c>
      <c r="W46" s="2"/>
      <c r="X46" s="7">
        <f t="shared" si="22"/>
        <v>3339.2</v>
      </c>
      <c r="Y46" s="2"/>
      <c r="Z46" s="6">
        <f t="shared" si="23"/>
        <v>2.0869999999999997</v>
      </c>
    </row>
    <row r="47" spans="1:26" s="24" customFormat="1" hidden="1" outlineLevel="2" x14ac:dyDescent="0.25">
      <c r="A47" s="27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800</v>
      </c>
      <c r="U47" s="2"/>
      <c r="V47" s="6">
        <f t="shared" si="21"/>
        <v>0</v>
      </c>
      <c r="W47" s="2"/>
      <c r="X47" s="7">
        <f t="shared" si="22"/>
        <v>-800</v>
      </c>
      <c r="Y47" s="2"/>
      <c r="Z47" s="6">
        <f t="shared" si="23"/>
        <v>-1</v>
      </c>
    </row>
    <row r="48" spans="1:26" s="28" customFormat="1" outlineLevel="1" collapsed="1" x14ac:dyDescent="0.25">
      <c r="A48" s="29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SUM(OSRRefD22_5x_0)</f>
        <v>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-100</v>
      </c>
      <c r="M48" s="1"/>
      <c r="N48" s="5">
        <f t="shared" ref="N48:N50" si="27">IF(H48=0,0,L48/H48)</f>
        <v>-1</v>
      </c>
      <c r="O48" s="14"/>
      <c r="P48" s="1">
        <f>SUM(OSRRefP22_5x_0)</f>
        <v>400</v>
      </c>
      <c r="Q48" s="1"/>
      <c r="R48" s="5">
        <f t="shared" ref="R48:R50" si="28">IF(P$12=0,0,P48/P$12)</f>
        <v>0</v>
      </c>
      <c r="S48" s="1"/>
      <c r="T48" s="1">
        <f>SUM(OSRRefT22_5x_0)</f>
        <v>800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-400</v>
      </c>
      <c r="Y48" s="1"/>
      <c r="Z48" s="5">
        <f t="shared" ref="Z48:Z50" si="31">IF(T48=0,0,X48/T48)</f>
        <v>-0.5</v>
      </c>
    </row>
    <row r="49" spans="1:26" s="24" customFormat="1" hidden="1" outlineLevel="2" x14ac:dyDescent="0.25">
      <c r="A49" s="27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400</v>
      </c>
      <c r="U49" s="2"/>
      <c r="V49" s="6">
        <f t="shared" si="29"/>
        <v>0</v>
      </c>
      <c r="W49" s="2"/>
      <c r="X49" s="7">
        <f t="shared" si="30"/>
        <v>-400</v>
      </c>
      <c r="Y49" s="2"/>
      <c r="Z49" s="6">
        <f t="shared" si="31"/>
        <v>-1</v>
      </c>
    </row>
    <row r="50" spans="1:26" s="24" customFormat="1" hidden="1" outlineLevel="2" x14ac:dyDescent="0.25">
      <c r="A50" s="27"/>
      <c r="B50" s="11" t="str">
        <f>CONCATENATE("          ", "6309", " - ", "TELEPHONE")</f>
        <v xml:space="preserve">          6309 - TELEPHONE</v>
      </c>
      <c r="C50" s="11"/>
      <c r="D50" s="7"/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-50</v>
      </c>
      <c r="M50" s="2"/>
      <c r="N50" s="6">
        <f t="shared" si="27"/>
        <v>-1</v>
      </c>
      <c r="O50" s="11"/>
      <c r="P50" s="7">
        <v>400</v>
      </c>
      <c r="Q50" s="2"/>
      <c r="R50" s="6">
        <f t="shared" si="28"/>
        <v>0</v>
      </c>
      <c r="S50" s="2"/>
      <c r="T50" s="7">
        <v>400</v>
      </c>
      <c r="U50" s="2"/>
      <c r="V50" s="6">
        <f t="shared" si="29"/>
        <v>0</v>
      </c>
      <c r="W50" s="2"/>
      <c r="X50" s="7">
        <f t="shared" si="30"/>
        <v>0</v>
      </c>
      <c r="Y50" s="2"/>
      <c r="Z50" s="6">
        <f t="shared" si="31"/>
        <v>0</v>
      </c>
    </row>
    <row r="51" spans="1:26" s="28" customFormat="1" outlineLevel="1" collapsed="1" x14ac:dyDescent="0.25">
      <c r="A51" s="29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4"/>
      <c r="P51" s="1">
        <f>SUM(OSRRefP22_6x_0)</f>
        <v>0</v>
      </c>
      <c r="Q51" s="1"/>
      <c r="R51" s="5">
        <f t="shared" ref="R51:R54" si="36">IF(P$12=0,0,P51/P$12)</f>
        <v>0</v>
      </c>
      <c r="S51" s="1"/>
      <c r="T51" s="1">
        <f>SUM(OSRRefT22_6x_0)</f>
        <v>1600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-1600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7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-200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1600</v>
      </c>
      <c r="U52" s="2"/>
      <c r="V52" s="6">
        <f t="shared" si="37"/>
        <v>0</v>
      </c>
      <c r="W52" s="2"/>
      <c r="X52" s="7">
        <f t="shared" si="38"/>
        <v>-1600</v>
      </c>
      <c r="Y52" s="2"/>
      <c r="Z52" s="6">
        <f t="shared" si="39"/>
        <v>-1</v>
      </c>
    </row>
    <row r="53" spans="1:26" s="28" customFormat="1" outlineLevel="1" collapsed="1" x14ac:dyDescent="0.25">
      <c r="A53" s="29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4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2400</v>
      </c>
      <c r="U53" s="1"/>
      <c r="V53" s="5">
        <f t="shared" si="37"/>
        <v>0</v>
      </c>
      <c r="W53" s="1"/>
      <c r="X53" s="1">
        <f t="shared" si="38"/>
        <v>-2400</v>
      </c>
      <c r="Y53" s="1"/>
      <c r="Z53" s="5">
        <f t="shared" si="39"/>
        <v>-1</v>
      </c>
    </row>
    <row r="54" spans="1:26" s="24" customFormat="1" hidden="1" outlineLevel="2" x14ac:dyDescent="0.25">
      <c r="A54" s="27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2400</v>
      </c>
      <c r="U54" s="2"/>
      <c r="V54" s="6">
        <f t="shared" si="37"/>
        <v>0</v>
      </c>
      <c r="W54" s="2"/>
      <c r="X54" s="7">
        <f t="shared" si="38"/>
        <v>-2400</v>
      </c>
      <c r="Y54" s="2"/>
      <c r="Z54" s="6">
        <f t="shared" si="39"/>
        <v>-1</v>
      </c>
    </row>
    <row r="55" spans="1:26" s="58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19">
        <f>+D16-D18+D56</f>
        <v>-17844.22</v>
      </c>
      <c r="E58" s="13"/>
      <c r="F58" s="21">
        <f>IF(D$12=0,0,D58/D$12)</f>
        <v>0</v>
      </c>
      <c r="G58" s="13"/>
      <c r="H58" s="19">
        <f>+H16-H18+H56</f>
        <v>-54046.532740000002</v>
      </c>
      <c r="I58" s="13"/>
      <c r="J58" s="21">
        <f>IF(H$12=0,0,H58/H$12)</f>
        <v>0</v>
      </c>
      <c r="K58" s="15"/>
      <c r="L58" s="19">
        <f>+D58-H58</f>
        <v>36202.312740000001</v>
      </c>
      <c r="M58" s="15"/>
      <c r="N58" s="21">
        <f>IF(H58=0,0,L58/H58)</f>
        <v>-0.66983598955657997</v>
      </c>
      <c r="O58" s="26"/>
      <c r="P58" s="19">
        <f>+P16-P18+P56</f>
        <v>-135791.74</v>
      </c>
      <c r="Q58" s="13"/>
      <c r="R58" s="21">
        <f>IF(P$12=0,0,P58/P$12)</f>
        <v>0</v>
      </c>
      <c r="S58" s="13"/>
      <c r="T58" s="19">
        <f>+T16-T18+T56</f>
        <v>-158773.411475</v>
      </c>
      <c r="U58" s="13"/>
      <c r="V58" s="21">
        <f>IF(T$12=0,0,T58/T$12)</f>
        <v>0</v>
      </c>
      <c r="W58" s="15"/>
      <c r="X58" s="19">
        <f>+P58-T58</f>
        <v>22981.67147500001</v>
      </c>
      <c r="Y58" s="15"/>
      <c r="Z58" s="21">
        <f>IF(T58=0,0,X58/T58)</f>
        <v>-0.1447450883715416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4">
        <f>+D58-D60</f>
        <v>-17844.22</v>
      </c>
      <c r="E62" s="13"/>
      <c r="F62" s="30">
        <f>IF(D$12=0,0,D62/D$12)</f>
        <v>0</v>
      </c>
      <c r="G62" s="13"/>
      <c r="H62" s="34">
        <f>+H58-H60</f>
        <v>-54046.532740000002</v>
      </c>
      <c r="I62" s="13"/>
      <c r="J62" s="30">
        <f>IF(H$12=0,0,H62/H$12)</f>
        <v>0</v>
      </c>
      <c r="K62" s="15"/>
      <c r="L62" s="34">
        <f>D62-H62</f>
        <v>36202.312740000001</v>
      </c>
      <c r="M62" s="15"/>
      <c r="N62" s="30">
        <f>IF(H62=0,0,L62/H62)</f>
        <v>-0.66983598955657997</v>
      </c>
      <c r="O62" s="26"/>
      <c r="P62" s="34">
        <f>+P58-P60</f>
        <v>-135791.74</v>
      </c>
      <c r="Q62" s="13"/>
      <c r="R62" s="30">
        <f>IF(P$12=0,0,P62/P$12)</f>
        <v>0</v>
      </c>
      <c r="S62" s="13"/>
      <c r="T62" s="34">
        <f>+T58-T60</f>
        <v>-158773.411475</v>
      </c>
      <c r="U62" s="13"/>
      <c r="V62" s="30">
        <f>IF(T$12=0,0,T62/T$12)</f>
        <v>0</v>
      </c>
      <c r="W62" s="15"/>
      <c r="X62" s="34">
        <f>P62-T62</f>
        <v>22981.67147500001</v>
      </c>
      <c r="Y62" s="15"/>
      <c r="Z62" s="30">
        <f>IF(T62=0,0,X62/T62)</f>
        <v>-0.1447450883715416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5">
        <f>SUM(D62:D64)</f>
        <v>-17844.22</v>
      </c>
      <c r="E65" s="13"/>
      <c r="F65" s="31">
        <f>IF(D$12=0,0,D65/D$12)</f>
        <v>0</v>
      </c>
      <c r="G65" s="13"/>
      <c r="H65" s="35">
        <f>SUM(H62:H64)</f>
        <v>-54046.532740000002</v>
      </c>
      <c r="I65" s="13"/>
      <c r="J65" s="31">
        <f>IF(H$12=0,0,H65/H$12)</f>
        <v>0</v>
      </c>
      <c r="K65" s="15"/>
      <c r="L65" s="35">
        <f>+D65-H65</f>
        <v>36202.312740000001</v>
      </c>
      <c r="M65" s="15"/>
      <c r="N65" s="31">
        <f>IF(H65=0,0,L65/H65)</f>
        <v>-0.66983598955657997</v>
      </c>
      <c r="O65" s="26"/>
      <c r="P65" s="35">
        <f>SUM(P62:P64)</f>
        <v>-135791.74</v>
      </c>
      <c r="Q65" s="13"/>
      <c r="R65" s="31">
        <f>IF(P$12=0,0,P65/P$12)</f>
        <v>0</v>
      </c>
      <c r="S65" s="13"/>
      <c r="T65" s="35">
        <f>SUM(T62:T64)</f>
        <v>-158773.411475</v>
      </c>
      <c r="U65" s="13"/>
      <c r="V65" s="31">
        <f>IF(T$12=0,0,T65/T$12)</f>
        <v>0</v>
      </c>
      <c r="W65" s="15"/>
      <c r="X65" s="35">
        <f>+P65-T65</f>
        <v>22981.67147500001</v>
      </c>
      <c r="Y65" s="15"/>
      <c r="Z65" s="31">
        <f>IF(T65=0,0,X65/T65)</f>
        <v>-0.1447450883715416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3">
        <v>44267.672238541665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62" t="s">
        <v>314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7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238056</v>
      </c>
      <c r="I12" s="4"/>
      <c r="J12" s="12"/>
      <c r="K12" s="4"/>
      <c r="L12" s="4">
        <f t="shared" ref="L12:L16" si="0">+D12-H12</f>
        <v>-238056</v>
      </c>
      <c r="M12" s="4"/>
      <c r="N12" s="12">
        <f t="shared" ref="N12:N16" si="1">IF(H12=0,0,L12/H12)</f>
        <v>-1</v>
      </c>
      <c r="O12" s="10"/>
      <c r="P12" s="4">
        <f>SUM(OSRRefP13x_0)</f>
        <v>23641.919999999998</v>
      </c>
      <c r="Q12" s="4"/>
      <c r="R12" s="12"/>
      <c r="S12" s="4"/>
      <c r="T12" s="4">
        <f>SUM(OSRRefT13x_0)</f>
        <v>1116154</v>
      </c>
      <c r="U12" s="4"/>
      <c r="V12" s="12"/>
      <c r="W12" s="4"/>
      <c r="X12" s="4">
        <f t="shared" ref="X12:X16" si="2">+P12-T12</f>
        <v>-1092512.08</v>
      </c>
      <c r="Y12" s="4"/>
      <c r="Z12" s="12">
        <f t="shared" ref="Z12:Z16" si="3">IF(T12=0,0,X12/T12)</f>
        <v>-0.9788184067789929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238056</v>
      </c>
      <c r="I14" s="2"/>
      <c r="J14" s="22"/>
      <c r="K14" s="2"/>
      <c r="L14" s="2">
        <f t="shared" si="0"/>
        <v>-238056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1116154</v>
      </c>
      <c r="U14" s="2"/>
      <c r="V14" s="22"/>
      <c r="W14" s="2"/>
      <c r="X14" s="2">
        <f t="shared" si="2"/>
        <v>-1116154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--16096</f>
        <v>16096</v>
      </c>
      <c r="Q15" s="2"/>
      <c r="R15" s="22"/>
      <c r="S15" s="2"/>
      <c r="T15" s="2"/>
      <c r="U15" s="2"/>
      <c r="V15" s="22"/>
      <c r="W15" s="2"/>
      <c r="X15" s="2">
        <f t="shared" si="2"/>
        <v>16096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--7328.27</f>
        <v>7328.27</v>
      </c>
      <c r="Q16" s="2"/>
      <c r="R16" s="22"/>
      <c r="S16" s="2"/>
      <c r="T16" s="2"/>
      <c r="U16" s="2"/>
      <c r="V16" s="22"/>
      <c r="W16" s="2"/>
      <c r="X16" s="2">
        <f t="shared" si="2"/>
        <v>7328.27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64275.000000000007</v>
      </c>
      <c r="I18" s="4"/>
      <c r="J18" s="12">
        <f t="shared" ref="J18:J21" si="6">IF(H$12=0,0,H18/H$12)</f>
        <v>0.26999949591692712</v>
      </c>
      <c r="K18" s="4"/>
      <c r="L18" s="4">
        <f t="shared" ref="L18:L21" si="7">+D18-H18</f>
        <v>-64275.000000000007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1.0711025162084975</v>
      </c>
      <c r="S18" s="4"/>
      <c r="T18" s="4">
        <f>SUM(OSRRefT16x_0)</f>
        <v>309137</v>
      </c>
      <c r="U18" s="4"/>
      <c r="V18" s="12">
        <f t="shared" ref="V18:V21" si="10">IF(T$12=0,0,T18/T$12)</f>
        <v>0.27696626092815146</v>
      </c>
      <c r="W18" s="4"/>
      <c r="X18" s="4">
        <f t="shared" ref="X18:X21" si="11">+P18-T18</f>
        <v>-283814.08</v>
      </c>
      <c r="Y18" s="4"/>
      <c r="Z18" s="12">
        <f t="shared" ref="Z18:Z21" si="12">IF(T18=0,0,X18/T18)</f>
        <v>-0.91808512083639293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64275.000000000007</v>
      </c>
      <c r="I19" s="2"/>
      <c r="J19" s="22">
        <f t="shared" si="6"/>
        <v>0.26999949591692712</v>
      </c>
      <c r="K19" s="2"/>
      <c r="L19" s="2">
        <f t="shared" si="7"/>
        <v>-64275.000000000007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309137</v>
      </c>
      <c r="U19" s="2"/>
      <c r="V19" s="22">
        <f t="shared" si="10"/>
        <v>0.27696626092815146</v>
      </c>
      <c r="W19" s="2"/>
      <c r="X19" s="2">
        <f t="shared" si="11"/>
        <v>-309137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14410.92</v>
      </c>
      <c r="Q20" s="2"/>
      <c r="R20" s="22">
        <f t="shared" si="9"/>
        <v>0.60954947821496741</v>
      </c>
      <c r="S20" s="2"/>
      <c r="T20" s="2"/>
      <c r="U20" s="2"/>
      <c r="V20" s="22">
        <f t="shared" si="10"/>
        <v>0</v>
      </c>
      <c r="W20" s="2"/>
      <c r="X20" s="2">
        <f t="shared" si="11"/>
        <v>14410.92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0.46155303799353015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19">
        <f>D12-D18</f>
        <v>0</v>
      </c>
      <c r="E23" s="13"/>
      <c r="F23" s="21">
        <f>IF(D$12=0,0,D23/D$12)</f>
        <v>0</v>
      </c>
      <c r="G23" s="13"/>
      <c r="H23" s="19">
        <f>H12-H18</f>
        <v>173781</v>
      </c>
      <c r="I23" s="13"/>
      <c r="J23" s="21">
        <f>IF(H$12=0,0,H23/H$12)</f>
        <v>0.73000050408307293</v>
      </c>
      <c r="K23" s="15"/>
      <c r="L23" s="19">
        <f>+D23-H23</f>
        <v>-173781</v>
      </c>
      <c r="M23" s="15"/>
      <c r="N23" s="21">
        <f>IF(H23=0,0,L23/H23)</f>
        <v>-1</v>
      </c>
      <c r="O23" s="26"/>
      <c r="P23" s="19">
        <f>P12-P18</f>
        <v>-1681</v>
      </c>
      <c r="Q23" s="13"/>
      <c r="R23" s="21">
        <f>IF(P$12=0,0,P23/P$12)</f>
        <v>-7.110251620849746E-2</v>
      </c>
      <c r="S23" s="13"/>
      <c r="T23" s="19">
        <f>T12-T18</f>
        <v>807017</v>
      </c>
      <c r="U23" s="13"/>
      <c r="V23" s="21">
        <f>IF(T$12=0,0,T23/T$12)</f>
        <v>0.72303373907184854</v>
      </c>
      <c r="W23" s="15"/>
      <c r="X23" s="19">
        <f>+P23-T23</f>
        <v>-808698</v>
      </c>
      <c r="Y23" s="15"/>
      <c r="Z23" s="21">
        <f>IF(T23=0,0,X23/T23)</f>
        <v>-1.0020829796646167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46306.989999999991</v>
      </c>
      <c r="E25" s="20"/>
      <c r="F25" s="33">
        <f t="shared" ref="F25:F36" si="13">IF(D$12=0,0,D25/D$12)</f>
        <v>0</v>
      </c>
      <c r="G25" s="20"/>
      <c r="H25" s="20">
        <f>SUM(OSRRefH22x_0)</f>
        <v>136933.50423076923</v>
      </c>
      <c r="I25" s="20"/>
      <c r="J25" s="33">
        <f t="shared" ref="J25:J36" si="14">IF(H$12=0,0,H25/H$12)</f>
        <v>0.57521551328582032</v>
      </c>
      <c r="K25" s="4"/>
      <c r="L25" s="20">
        <f t="shared" ref="L25:L36" si="15">+D25-H25</f>
        <v>-90626.514230769244</v>
      </c>
      <c r="M25" s="4"/>
      <c r="N25" s="33">
        <f t="shared" ref="N25:N36" si="16">IF(H25=0,0,L25/H25)</f>
        <v>-0.66182863529176583</v>
      </c>
      <c r="O25" s="10"/>
      <c r="P25" s="20">
        <f>SUM(OSRRefP22x_0)</f>
        <v>414616.77999999997</v>
      </c>
      <c r="Q25" s="20"/>
      <c r="R25" s="33">
        <f t="shared" ref="R25:R36" si="17">IF(P$12=0,0,P25/P$12)</f>
        <v>17.537356526035111</v>
      </c>
      <c r="S25" s="20"/>
      <c r="T25" s="20">
        <f>SUM(OSRRefT22x_0)</f>
        <v>1010575.6617142307</v>
      </c>
      <c r="U25" s="20"/>
      <c r="V25" s="33">
        <f t="shared" ref="V25:V36" si="18">IF(T$12=0,0,T25/T$12)</f>
        <v>0.90540880713076388</v>
      </c>
      <c r="W25" s="4"/>
      <c r="X25" s="20">
        <f t="shared" ref="X25:X36" si="19">+P25-T25</f>
        <v>-595958.88171423064</v>
      </c>
      <c r="Y25" s="4"/>
      <c r="Z25" s="33">
        <f t="shared" ref="Z25:Z36" si="20">IF(T25=0,0,X25/T25)</f>
        <v>-0.58972217943910388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20319.529999999995</v>
      </c>
      <c r="E26" s="1"/>
      <c r="F26" s="5">
        <f t="shared" si="13"/>
        <v>0</v>
      </c>
      <c r="G26" s="1"/>
      <c r="H26" s="1">
        <f>SUM(OSRRefH22_0x_0)</f>
        <v>30778.882692307736</v>
      </c>
      <c r="I26" s="1"/>
      <c r="J26" s="5">
        <f t="shared" si="14"/>
        <v>0.12929261473060008</v>
      </c>
      <c r="K26" s="1"/>
      <c r="L26" s="1">
        <f t="shared" si="15"/>
        <v>-10459.352692307741</v>
      </c>
      <c r="M26" s="1"/>
      <c r="N26" s="5">
        <f t="shared" si="16"/>
        <v>-0.33982236447204578</v>
      </c>
      <c r="O26" s="14"/>
      <c r="P26" s="1">
        <f>SUM(OSRRefP22_0x_0)</f>
        <v>166930.31999999998</v>
      </c>
      <c r="Q26" s="1"/>
      <c r="R26" s="5">
        <f t="shared" si="17"/>
        <v>7.0607767897023592</v>
      </c>
      <c r="S26" s="1"/>
      <c r="T26" s="1">
        <f>SUM(OSRRefT22_0x_0)</f>
        <v>256488.27325269254</v>
      </c>
      <c r="U26" s="1"/>
      <c r="V26" s="5">
        <f t="shared" si="18"/>
        <v>0.22979649157078014</v>
      </c>
      <c r="W26" s="1"/>
      <c r="X26" s="1">
        <f t="shared" si="19"/>
        <v>-89557.953252692561</v>
      </c>
      <c r="Y26" s="1"/>
      <c r="Z26" s="5">
        <f t="shared" si="20"/>
        <v>-0.34916977730385346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1785.8</v>
      </c>
      <c r="E27" s="2"/>
      <c r="F27" s="6">
        <f t="shared" si="13"/>
        <v>0</v>
      </c>
      <c r="G27" s="2"/>
      <c r="H27" s="7">
        <v>3540.6898846153804</v>
      </c>
      <c r="I27" s="2"/>
      <c r="J27" s="6">
        <f t="shared" si="14"/>
        <v>1.4873348643241004E-2</v>
      </c>
      <c r="K27" s="2"/>
      <c r="L27" s="7">
        <f t="shared" si="15"/>
        <v>-1754.8898846153804</v>
      </c>
      <c r="M27" s="2"/>
      <c r="N27" s="6">
        <f t="shared" si="16"/>
        <v>-0.49563501515355429</v>
      </c>
      <c r="O27" s="11"/>
      <c r="P27" s="7">
        <v>16132.169999999998</v>
      </c>
      <c r="Q27" s="2"/>
      <c r="R27" s="6">
        <f t="shared" si="17"/>
        <v>0.68235447882405487</v>
      </c>
      <c r="S27" s="2"/>
      <c r="T27" s="7">
        <v>28977.787210384588</v>
      </c>
      <c r="U27" s="2"/>
      <c r="V27" s="6">
        <f t="shared" si="18"/>
        <v>2.5962176554834359E-2</v>
      </c>
      <c r="W27" s="2"/>
      <c r="X27" s="7">
        <f t="shared" si="19"/>
        <v>-12845.617210384589</v>
      </c>
      <c r="Y27" s="2"/>
      <c r="Z27" s="6">
        <f t="shared" si="20"/>
        <v>-0.44329186066288684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997.82</v>
      </c>
      <c r="E28" s="2"/>
      <c r="F28" s="6">
        <f t="shared" si="13"/>
        <v>0</v>
      </c>
      <c r="G28" s="2"/>
      <c r="H28" s="7">
        <v>2531.0306999999998</v>
      </c>
      <c r="I28" s="2"/>
      <c r="J28" s="6">
        <f t="shared" si="14"/>
        <v>1.0632081106966427E-2</v>
      </c>
      <c r="K28" s="2"/>
      <c r="L28" s="7">
        <f t="shared" si="15"/>
        <v>-1533.2106999999996</v>
      </c>
      <c r="M28" s="2"/>
      <c r="N28" s="6">
        <f t="shared" si="16"/>
        <v>-0.60576535085093985</v>
      </c>
      <c r="O28" s="11"/>
      <c r="P28" s="7">
        <v>9164.16</v>
      </c>
      <c r="Q28" s="2"/>
      <c r="R28" s="6">
        <f t="shared" si="17"/>
        <v>0.387623340236326</v>
      </c>
      <c r="S28" s="2"/>
      <c r="T28" s="7">
        <v>19273.524930000003</v>
      </c>
      <c r="U28" s="2"/>
      <c r="V28" s="6">
        <f t="shared" si="18"/>
        <v>1.7267800796305889E-2</v>
      </c>
      <c r="W28" s="2"/>
      <c r="X28" s="7">
        <f t="shared" si="19"/>
        <v>-10109.364930000003</v>
      </c>
      <c r="Y28" s="2"/>
      <c r="Z28" s="6">
        <f t="shared" si="20"/>
        <v>-0.5245208111498264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12552.45</v>
      </c>
      <c r="E29" s="2"/>
      <c r="F29" s="6">
        <f t="shared" si="13"/>
        <v>0</v>
      </c>
      <c r="G29" s="2"/>
      <c r="H29" s="7">
        <v>18733.8461538462</v>
      </c>
      <c r="I29" s="2"/>
      <c r="J29" s="6">
        <f t="shared" si="14"/>
        <v>7.8695122802391868E-2</v>
      </c>
      <c r="K29" s="2"/>
      <c r="L29" s="7">
        <f t="shared" si="15"/>
        <v>-6181.396153846199</v>
      </c>
      <c r="M29" s="2"/>
      <c r="N29" s="6">
        <f t="shared" si="16"/>
        <v>-0.32995873367824746</v>
      </c>
      <c r="O29" s="11"/>
      <c r="P29" s="7">
        <v>97564.03</v>
      </c>
      <c r="Q29" s="2"/>
      <c r="R29" s="6">
        <f t="shared" si="17"/>
        <v>4.1267388604648021</v>
      </c>
      <c r="S29" s="2"/>
      <c r="T29" s="7">
        <v>159466.15384615411</v>
      </c>
      <c r="U29" s="2"/>
      <c r="V29" s="6">
        <f t="shared" si="18"/>
        <v>0.14287110367042014</v>
      </c>
      <c r="W29" s="2"/>
      <c r="X29" s="7">
        <f t="shared" si="19"/>
        <v>-61902.123846154107</v>
      </c>
      <c r="Y29" s="2"/>
      <c r="Z29" s="6">
        <f t="shared" si="20"/>
        <v>-0.38818346309320623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60.47</v>
      </c>
      <c r="E30" s="2"/>
      <c r="F30" s="6">
        <f t="shared" si="13"/>
        <v>0</v>
      </c>
      <c r="G30" s="2"/>
      <c r="H30" s="7">
        <v>153.39580000000001</v>
      </c>
      <c r="I30" s="2"/>
      <c r="J30" s="6">
        <f t="shared" si="14"/>
        <v>6.443685519373593E-4</v>
      </c>
      <c r="K30" s="2"/>
      <c r="L30" s="7">
        <f t="shared" si="15"/>
        <v>-92.92580000000001</v>
      </c>
      <c r="M30" s="2"/>
      <c r="N30" s="6">
        <f t="shared" si="16"/>
        <v>-0.60579103208823193</v>
      </c>
      <c r="O30" s="11"/>
      <c r="P30" s="7">
        <v>555.4</v>
      </c>
      <c r="Q30" s="2"/>
      <c r="R30" s="6">
        <f t="shared" si="17"/>
        <v>2.3492169840689758E-2</v>
      </c>
      <c r="S30" s="2"/>
      <c r="T30" s="7">
        <v>1168.0924199999999</v>
      </c>
      <c r="U30" s="2"/>
      <c r="V30" s="6">
        <f t="shared" si="18"/>
        <v>1.046533381594296E-3</v>
      </c>
      <c r="W30" s="2"/>
      <c r="X30" s="7">
        <f t="shared" si="19"/>
        <v>-612.69241999999997</v>
      </c>
      <c r="Y30" s="2"/>
      <c r="Z30" s="6">
        <f t="shared" si="20"/>
        <v>-0.52452392422852978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950.04</v>
      </c>
      <c r="E31" s="2"/>
      <c r="F31" s="6">
        <f t="shared" si="13"/>
        <v>0</v>
      </c>
      <c r="G31" s="2"/>
      <c r="H31" s="7">
        <v>1246.0870769230798</v>
      </c>
      <c r="I31" s="2"/>
      <c r="J31" s="6">
        <f t="shared" si="14"/>
        <v>5.2344283568701473E-3</v>
      </c>
      <c r="K31" s="2"/>
      <c r="L31" s="7">
        <f t="shared" si="15"/>
        <v>-296.04707692307989</v>
      </c>
      <c r="M31" s="2"/>
      <c r="N31" s="6">
        <f t="shared" si="16"/>
        <v>-0.2375813716438652</v>
      </c>
      <c r="O31" s="11"/>
      <c r="P31" s="7">
        <v>8630.7900000000009</v>
      </c>
      <c r="Q31" s="2"/>
      <c r="R31" s="6">
        <f t="shared" si="17"/>
        <v>0.36506298980793445</v>
      </c>
      <c r="S31" s="2"/>
      <c r="T31" s="7">
        <v>10903.261923076949</v>
      </c>
      <c r="U31" s="2"/>
      <c r="V31" s="6">
        <f t="shared" si="18"/>
        <v>9.7685999629772858E-3</v>
      </c>
      <c r="W31" s="2"/>
      <c r="X31" s="7">
        <f t="shared" si="19"/>
        <v>-2272.4719230769479</v>
      </c>
      <c r="Y31" s="2"/>
      <c r="Z31" s="6">
        <f t="shared" si="20"/>
        <v>-0.20842129072101079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353.46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353.46</v>
      </c>
      <c r="M33" s="2"/>
      <c r="N33" s="6">
        <f t="shared" si="16"/>
        <v>0</v>
      </c>
      <c r="O33" s="11"/>
      <c r="P33" s="7">
        <v>3099.84</v>
      </c>
      <c r="Q33" s="2"/>
      <c r="R33" s="6">
        <f t="shared" si="17"/>
        <v>0.13111625451739961</v>
      </c>
      <c r="S33" s="2"/>
      <c r="T33" s="7"/>
      <c r="U33" s="2"/>
      <c r="V33" s="6">
        <f t="shared" si="18"/>
        <v>0</v>
      </c>
      <c r="W33" s="2"/>
      <c r="X33" s="7">
        <f t="shared" si="19"/>
        <v>3099.84</v>
      </c>
      <c r="Y33" s="2"/>
      <c r="Z33" s="6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1575.8</v>
      </c>
      <c r="E34" s="2"/>
      <c r="F34" s="6">
        <f t="shared" si="13"/>
        <v>0</v>
      </c>
      <c r="G34" s="2"/>
      <c r="H34" s="7">
        <v>1260.2815384615399</v>
      </c>
      <c r="I34" s="2"/>
      <c r="J34" s="6">
        <f t="shared" si="14"/>
        <v>5.2940549217895781E-3</v>
      </c>
      <c r="K34" s="2"/>
      <c r="L34" s="7">
        <f t="shared" si="15"/>
        <v>315.51846153846009</v>
      </c>
      <c r="M34" s="2"/>
      <c r="N34" s="6">
        <f t="shared" si="16"/>
        <v>0.25035553716324538</v>
      </c>
      <c r="O34" s="11"/>
      <c r="P34" s="7">
        <v>15291.48</v>
      </c>
      <c r="Q34" s="2"/>
      <c r="R34" s="6">
        <f t="shared" si="17"/>
        <v>0.64679518414748038</v>
      </c>
      <c r="S34" s="2"/>
      <c r="T34" s="7">
        <v>11027.46346153846</v>
      </c>
      <c r="U34" s="2"/>
      <c r="V34" s="6">
        <f t="shared" si="18"/>
        <v>9.8798763087696324E-3</v>
      </c>
      <c r="W34" s="2"/>
      <c r="X34" s="7">
        <f t="shared" si="19"/>
        <v>4264.0165384615393</v>
      </c>
      <c r="Y34" s="2"/>
      <c r="Z34" s="6">
        <f t="shared" si="20"/>
        <v>0.3866724703585333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1152.05</v>
      </c>
      <c r="E35" s="2"/>
      <c r="F35" s="6">
        <f t="shared" si="13"/>
        <v>0</v>
      </c>
      <c r="G35" s="2"/>
      <c r="H35" s="7">
        <v>1563.5515384615398</v>
      </c>
      <c r="I35" s="2"/>
      <c r="J35" s="6">
        <f t="shared" si="14"/>
        <v>6.5679988677518732E-3</v>
      </c>
      <c r="K35" s="2"/>
      <c r="L35" s="7">
        <f t="shared" si="15"/>
        <v>-411.50153846153989</v>
      </c>
      <c r="M35" s="2"/>
      <c r="N35" s="6">
        <f t="shared" si="16"/>
        <v>-0.26318386592260196</v>
      </c>
      <c r="O35" s="11"/>
      <c r="P35" s="7">
        <v>10126.74</v>
      </c>
      <c r="Q35" s="2"/>
      <c r="R35" s="6">
        <f t="shared" si="17"/>
        <v>0.42833830754862551</v>
      </c>
      <c r="S35" s="2"/>
      <c r="T35" s="7">
        <v>11671.98946153846</v>
      </c>
      <c r="U35" s="2"/>
      <c r="V35" s="6">
        <f t="shared" si="18"/>
        <v>1.0457328882518416E-2</v>
      </c>
      <c r="W35" s="2"/>
      <c r="X35" s="7">
        <f t="shared" si="19"/>
        <v>-1545.2494615384603</v>
      </c>
      <c r="Y35" s="2"/>
      <c r="Z35" s="6">
        <f t="shared" si="20"/>
        <v>-0.13238955249491668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891.64</v>
      </c>
      <c r="E36" s="2"/>
      <c r="F36" s="6">
        <f t="shared" si="13"/>
        <v>0</v>
      </c>
      <c r="G36" s="2"/>
      <c r="H36" s="7">
        <v>1750</v>
      </c>
      <c r="I36" s="2"/>
      <c r="J36" s="6">
        <f t="shared" si="14"/>
        <v>7.3512114796518467E-3</v>
      </c>
      <c r="K36" s="2"/>
      <c r="L36" s="7">
        <f t="shared" si="15"/>
        <v>-858.36</v>
      </c>
      <c r="M36" s="2"/>
      <c r="N36" s="6">
        <f t="shared" si="16"/>
        <v>-0.49049142857142858</v>
      </c>
      <c r="O36" s="11"/>
      <c r="P36" s="7">
        <v>6365.71</v>
      </c>
      <c r="Q36" s="2"/>
      <c r="R36" s="6">
        <f t="shared" si="17"/>
        <v>0.26925520431504718</v>
      </c>
      <c r="S36" s="2"/>
      <c r="T36" s="7">
        <v>14000</v>
      </c>
      <c r="U36" s="2"/>
      <c r="V36" s="6">
        <f t="shared" si="18"/>
        <v>1.2543072013360164E-2</v>
      </c>
      <c r="W36" s="2"/>
      <c r="X36" s="7">
        <f t="shared" si="19"/>
        <v>-7634.29</v>
      </c>
      <c r="Y36" s="2"/>
      <c r="Z36" s="6">
        <f t="shared" si="20"/>
        <v>-0.54530642857142853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20656.62</v>
      </c>
      <c r="E37" s="1"/>
      <c r="F37" s="5">
        <f t="shared" ref="F37:F47" si="21">IF(D$12=0,0,D37/D$12)</f>
        <v>0</v>
      </c>
      <c r="G37" s="1"/>
      <c r="H37" s="1">
        <f>SUM(OSRRefH22_1x_0)</f>
        <v>56890.621538461499</v>
      </c>
      <c r="I37" s="1"/>
      <c r="J37" s="5">
        <f t="shared" ref="J37:J47" si="22">IF(H$12=0,0,H37/H$12)</f>
        <v>0.23897999436460959</v>
      </c>
      <c r="K37" s="1"/>
      <c r="L37" s="1">
        <f t="shared" ref="L37:L47" si="23">+D37-H37</f>
        <v>-36234.001538461496</v>
      </c>
      <c r="M37" s="1"/>
      <c r="N37" s="5">
        <f t="shared" ref="N37:N47" si="24">IF(H37=0,0,L37/H37)</f>
        <v>-0.63690641020620808</v>
      </c>
      <c r="O37" s="14"/>
      <c r="P37" s="1">
        <f>SUM(OSRRefP22_1x_0)</f>
        <v>179480.73</v>
      </c>
      <c r="Q37" s="1"/>
      <c r="R37" s="5">
        <f t="shared" ref="R37:R47" si="25">IF(P$12=0,0,P37/P$12)</f>
        <v>7.5916308827709438</v>
      </c>
      <c r="S37" s="1"/>
      <c r="T37" s="1">
        <f>SUM(OSRRefT22_1x_0)</f>
        <v>430823.38846153818</v>
      </c>
      <c r="U37" s="1"/>
      <c r="V37" s="5">
        <f t="shared" ref="V37:V47" si="26">IF(T$12=0,0,T37/T$12)</f>
        <v>0.3859891990366367</v>
      </c>
      <c r="W37" s="1"/>
      <c r="X37" s="1">
        <f t="shared" ref="X37:X47" si="27">+P37-T37</f>
        <v>-251342.65846153817</v>
      </c>
      <c r="Y37" s="1"/>
      <c r="Z37" s="5">
        <f t="shared" ref="Z37:Z47" si="28">IF(T37=0,0,X37/T37)</f>
        <v>-0.58340068156252578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9455.32</v>
      </c>
      <c r="E39" s="2"/>
      <c r="F39" s="6">
        <f t="shared" si="21"/>
        <v>0</v>
      </c>
      <c r="G39" s="2"/>
      <c r="H39" s="7">
        <v>13620.021538461498</v>
      </c>
      <c r="I39" s="2"/>
      <c r="J39" s="6">
        <f t="shared" si="22"/>
        <v>5.7213519249510611E-2</v>
      </c>
      <c r="K39" s="2"/>
      <c r="L39" s="7">
        <f t="shared" si="23"/>
        <v>-4164.7015384614988</v>
      </c>
      <c r="M39" s="2"/>
      <c r="N39" s="6">
        <f t="shared" si="24"/>
        <v>-0.30577789665756566</v>
      </c>
      <c r="O39" s="11"/>
      <c r="P39" s="7">
        <v>73806.070000000007</v>
      </c>
      <c r="Q39" s="2"/>
      <c r="R39" s="6">
        <f t="shared" si="25"/>
        <v>3.1218306296612126</v>
      </c>
      <c r="S39" s="2"/>
      <c r="T39" s="7">
        <v>119175.1884615382</v>
      </c>
      <c r="U39" s="2"/>
      <c r="V39" s="6">
        <f t="shared" si="26"/>
        <v>0.10677306936277449</v>
      </c>
      <c r="W39" s="2"/>
      <c r="X39" s="7">
        <f t="shared" si="27"/>
        <v>-45369.118461538194</v>
      </c>
      <c r="Y39" s="2"/>
      <c r="Z39" s="6">
        <f t="shared" si="28"/>
        <v>-0.38069265127430713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11458.3</v>
      </c>
      <c r="E41" s="2"/>
      <c r="F41" s="6">
        <f t="shared" si="21"/>
        <v>0</v>
      </c>
      <c r="G41" s="2"/>
      <c r="H41" s="7">
        <v>30537.599999999999</v>
      </c>
      <c r="I41" s="2"/>
      <c r="J41" s="6">
        <f t="shared" si="22"/>
        <v>0.12827906038915213</v>
      </c>
      <c r="K41" s="2"/>
      <c r="L41" s="7">
        <f t="shared" si="23"/>
        <v>-19079.3</v>
      </c>
      <c r="M41" s="2"/>
      <c r="N41" s="6">
        <f t="shared" si="24"/>
        <v>-0.62478059834433619</v>
      </c>
      <c r="O41" s="11"/>
      <c r="P41" s="7">
        <v>103331.66</v>
      </c>
      <c r="Q41" s="2"/>
      <c r="R41" s="6">
        <f t="shared" si="25"/>
        <v>4.3706966270082974</v>
      </c>
      <c r="S41" s="2"/>
      <c r="T41" s="7">
        <v>241027.99999999997</v>
      </c>
      <c r="U41" s="2"/>
      <c r="V41" s="6">
        <f t="shared" si="26"/>
        <v>0.21594511151686951</v>
      </c>
      <c r="W41" s="2"/>
      <c r="X41" s="7">
        <f t="shared" si="27"/>
        <v>-137696.33999999997</v>
      </c>
      <c r="Y41" s="2"/>
      <c r="Z41" s="6">
        <f t="shared" si="28"/>
        <v>-0.57128773420515455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-257</v>
      </c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-257</v>
      </c>
      <c r="M44" s="2"/>
      <c r="N44" s="6">
        <f t="shared" si="24"/>
        <v>0</v>
      </c>
      <c r="O44" s="11"/>
      <c r="P44" s="7">
        <v>2343</v>
      </c>
      <c r="Q44" s="2"/>
      <c r="R44" s="6">
        <f t="shared" si="25"/>
        <v>9.910362610143339E-2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2343</v>
      </c>
      <c r="Y44" s="2"/>
      <c r="Z44" s="6">
        <f t="shared" si="28"/>
        <v>0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12733</v>
      </c>
      <c r="I45" s="2"/>
      <c r="J45" s="6">
        <f t="shared" si="22"/>
        <v>5.3487414725946834E-2</v>
      </c>
      <c r="K45" s="2"/>
      <c r="L45" s="7">
        <f t="shared" si="23"/>
        <v>-12733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70620.2</v>
      </c>
      <c r="U45" s="2"/>
      <c r="V45" s="6">
        <f t="shared" si="26"/>
        <v>6.3271018156992667E-2</v>
      </c>
      <c r="W45" s="2"/>
      <c r="X45" s="7">
        <f t="shared" si="27"/>
        <v>-70620.2</v>
      </c>
      <c r="Y45" s="2"/>
      <c r="Z45" s="6">
        <f t="shared" si="28"/>
        <v>-1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500</v>
      </c>
      <c r="I48" s="1"/>
      <c r="J48" s="5">
        <f t="shared" ref="J48:J69" si="30">IF(H$12=0,0,H48/H$12)</f>
        <v>2.1003461370433848E-3</v>
      </c>
      <c r="K48" s="1"/>
      <c r="L48" s="1">
        <f t="shared" ref="L48:L69" si="31">+D48-H48</f>
        <v>-500</v>
      </c>
      <c r="M48" s="1"/>
      <c r="N48" s="5">
        <f t="shared" ref="N48:N69" si="32">IF(H48=0,0,L48/H48)</f>
        <v>-1</v>
      </c>
      <c r="O48" s="14"/>
      <c r="P48" s="1">
        <f>SUM(OSRRefP22_2x_0)</f>
        <v>204.75</v>
      </c>
      <c r="Q48" s="1"/>
      <c r="R48" s="5">
        <f t="shared" ref="R48:R69" si="33">IF(P$12=0,0,P48/P$12)</f>
        <v>8.660464124741139E-3</v>
      </c>
      <c r="S48" s="1"/>
      <c r="T48" s="1">
        <f>SUM(OSRRefT22_2x_0)</f>
        <v>4000</v>
      </c>
      <c r="U48" s="1"/>
      <c r="V48" s="5">
        <f t="shared" ref="V48:V69" si="34">IF(T$12=0,0,T48/T$12)</f>
        <v>3.5837348609600466E-3</v>
      </c>
      <c r="W48" s="1"/>
      <c r="X48" s="1">
        <f t="shared" ref="X48:X69" si="35">+P48-T48</f>
        <v>-3795.25</v>
      </c>
      <c r="Y48" s="1"/>
      <c r="Z48" s="5">
        <f t="shared" ref="Z48:Z69" si="36">IF(T48=0,0,X48/T48)</f>
        <v>-0.94881249999999995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2.1003461370433848E-3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8.660464124741139E-3</v>
      </c>
      <c r="S49" s="2"/>
      <c r="T49" s="7">
        <v>4000</v>
      </c>
      <c r="U49" s="2"/>
      <c r="V49" s="6">
        <f t="shared" si="34"/>
        <v>3.5837348609600466E-3</v>
      </c>
      <c r="W49" s="2"/>
      <c r="X49" s="7">
        <f t="shared" si="35"/>
        <v>-3795.25</v>
      </c>
      <c r="Y49" s="2"/>
      <c r="Z49" s="6">
        <f t="shared" si="36"/>
        <v>-0.94881249999999995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6.3010384111301544E-5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120</v>
      </c>
      <c r="U50" s="1"/>
      <c r="V50" s="5">
        <f t="shared" si="34"/>
        <v>1.075120458288014E-4</v>
      </c>
      <c r="W50" s="1"/>
      <c r="X50" s="1">
        <f t="shared" si="35"/>
        <v>-120</v>
      </c>
      <c r="Y50" s="1"/>
      <c r="Z50" s="5">
        <f t="shared" si="36"/>
        <v>-1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6.3010384111301544E-5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/>
      <c r="Q51" s="2"/>
      <c r="R51" s="6">
        <f t="shared" si="33"/>
        <v>0</v>
      </c>
      <c r="S51" s="2"/>
      <c r="T51" s="7">
        <v>120</v>
      </c>
      <c r="U51" s="2"/>
      <c r="V51" s="6">
        <f t="shared" si="34"/>
        <v>1.075120458288014E-4</v>
      </c>
      <c r="W51" s="2"/>
      <c r="X51" s="7">
        <f t="shared" si="35"/>
        <v>-120</v>
      </c>
      <c r="Y51" s="2"/>
      <c r="Z51" s="6">
        <f t="shared" si="36"/>
        <v>-1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1.0501730685216924E-3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2000</v>
      </c>
      <c r="U52" s="1"/>
      <c r="V52" s="5">
        <f t="shared" si="34"/>
        <v>1.7918674304800233E-3</v>
      </c>
      <c r="W52" s="1"/>
      <c r="X52" s="1">
        <f t="shared" si="35"/>
        <v>-2000</v>
      </c>
      <c r="Y52" s="1"/>
      <c r="Z52" s="5">
        <f t="shared" si="36"/>
        <v>-1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1.0501730685216924E-3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2000</v>
      </c>
      <c r="U53" s="2"/>
      <c r="V53" s="6">
        <f t="shared" si="34"/>
        <v>1.7918674304800233E-3</v>
      </c>
      <c r="W53" s="2"/>
      <c r="X53" s="7">
        <f t="shared" si="35"/>
        <v>-2000</v>
      </c>
      <c r="Y53" s="2"/>
      <c r="Z53" s="6">
        <f t="shared" si="36"/>
        <v>-1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1917.7</v>
      </c>
      <c r="Q54" s="1"/>
      <c r="R54" s="5">
        <f t="shared" si="33"/>
        <v>8.1114393416439959E-2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1917.7</v>
      </c>
      <c r="Y54" s="1"/>
      <c r="Z54" s="5">
        <f t="shared" si="36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1917.7</v>
      </c>
      <c r="Q55" s="2"/>
      <c r="R55" s="6">
        <f t="shared" si="33"/>
        <v>8.1114393416439959E-2</v>
      </c>
      <c r="S55" s="2"/>
      <c r="T55" s="7"/>
      <c r="U55" s="2"/>
      <c r="V55" s="6">
        <f t="shared" si="34"/>
        <v>0</v>
      </c>
      <c r="W55" s="2"/>
      <c r="X55" s="7">
        <f t="shared" si="35"/>
        <v>1917.7</v>
      </c>
      <c r="Y55" s="2"/>
      <c r="Z55" s="6">
        <f t="shared" si="36"/>
        <v>0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3.3605538192694157E-2</v>
      </c>
      <c r="K56" s="1"/>
      <c r="L56" s="1">
        <f t="shared" si="31"/>
        <v>-8000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50000</v>
      </c>
      <c r="U56" s="1"/>
      <c r="V56" s="5">
        <f t="shared" si="34"/>
        <v>4.4796685762000583E-2</v>
      </c>
      <c r="W56" s="1"/>
      <c r="X56" s="1">
        <f t="shared" si="35"/>
        <v>-50000</v>
      </c>
      <c r="Y56" s="1"/>
      <c r="Z56" s="5">
        <f t="shared" si="36"/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8000</v>
      </c>
      <c r="I57" s="2"/>
      <c r="J57" s="6">
        <f t="shared" si="30"/>
        <v>3.3605538192694157E-2</v>
      </c>
      <c r="K57" s="2"/>
      <c r="L57" s="7">
        <f t="shared" si="31"/>
        <v>-8000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50000</v>
      </c>
      <c r="U57" s="2"/>
      <c r="V57" s="6">
        <f t="shared" si="34"/>
        <v>4.4796685762000583E-2</v>
      </c>
      <c r="W57" s="2"/>
      <c r="X57" s="7">
        <f t="shared" si="35"/>
        <v>-50000</v>
      </c>
      <c r="Y57" s="2"/>
      <c r="Z57" s="6">
        <f t="shared" si="36"/>
        <v>-1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4.2006922740867692E-4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800</v>
      </c>
      <c r="U58" s="1"/>
      <c r="V58" s="5">
        <f t="shared" si="34"/>
        <v>7.1674697219200939E-4</v>
      </c>
      <c r="W58" s="1"/>
      <c r="X58" s="1">
        <f t="shared" si="35"/>
        <v>-800</v>
      </c>
      <c r="Y58" s="1"/>
      <c r="Z58" s="5">
        <f t="shared" si="36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4.2006922740867692E-4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800</v>
      </c>
      <c r="U59" s="2"/>
      <c r="V59" s="6">
        <f t="shared" si="34"/>
        <v>7.1674697219200939E-4</v>
      </c>
      <c r="W59" s="2"/>
      <c r="X59" s="7">
        <f t="shared" si="35"/>
        <v>-800</v>
      </c>
      <c r="Y59" s="2"/>
      <c r="Z59" s="6">
        <f t="shared" si="36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219.68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1.6802769096347077E-3</v>
      </c>
      <c r="K60" s="1"/>
      <c r="L60" s="1">
        <f t="shared" si="31"/>
        <v>-180.32</v>
      </c>
      <c r="M60" s="1"/>
      <c r="N60" s="5">
        <f t="shared" si="32"/>
        <v>-0.45079999999999998</v>
      </c>
      <c r="O60" s="14"/>
      <c r="P60" s="1">
        <f>SUM(OSRRefP22_8x_0)</f>
        <v>1714.24</v>
      </c>
      <c r="Q60" s="1"/>
      <c r="R60" s="5">
        <f t="shared" si="33"/>
        <v>7.2508493388015863E-2</v>
      </c>
      <c r="S60" s="1"/>
      <c r="T60" s="1">
        <f>SUM(OSRRefT22_8x_0)</f>
        <v>3200</v>
      </c>
      <c r="U60" s="1"/>
      <c r="V60" s="5">
        <f t="shared" si="34"/>
        <v>2.8669878887680376E-3</v>
      </c>
      <c r="W60" s="1"/>
      <c r="X60" s="1">
        <f t="shared" si="35"/>
        <v>-1485.76</v>
      </c>
      <c r="Y60" s="1"/>
      <c r="Z60" s="5">
        <f t="shared" si="36"/>
        <v>-0.46429999999999999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219.68</v>
      </c>
      <c r="E61" s="2"/>
      <c r="F61" s="6">
        <f t="shared" si="29"/>
        <v>0</v>
      </c>
      <c r="G61" s="2"/>
      <c r="H61" s="7">
        <v>400</v>
      </c>
      <c r="I61" s="2"/>
      <c r="J61" s="6">
        <f t="shared" si="30"/>
        <v>1.6802769096347077E-3</v>
      </c>
      <c r="K61" s="2"/>
      <c r="L61" s="7">
        <f t="shared" si="31"/>
        <v>-180.32</v>
      </c>
      <c r="M61" s="2"/>
      <c r="N61" s="6">
        <f t="shared" si="32"/>
        <v>-0.45079999999999998</v>
      </c>
      <c r="O61" s="11"/>
      <c r="P61" s="7">
        <v>1714.24</v>
      </c>
      <c r="Q61" s="2"/>
      <c r="R61" s="6">
        <f t="shared" si="33"/>
        <v>7.2508493388015863E-2</v>
      </c>
      <c r="S61" s="2"/>
      <c r="T61" s="7">
        <v>3200</v>
      </c>
      <c r="U61" s="2"/>
      <c r="V61" s="6">
        <f t="shared" si="34"/>
        <v>2.8669878887680376E-3</v>
      </c>
      <c r="W61" s="2"/>
      <c r="X61" s="7">
        <f t="shared" si="35"/>
        <v>-1485.76</v>
      </c>
      <c r="Y61" s="2"/>
      <c r="Z61" s="6">
        <f t="shared" si="36"/>
        <v>-0.46429999999999999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6.3010384111301541E-4</v>
      </c>
      <c r="K62" s="1"/>
      <c r="L62" s="1">
        <f t="shared" si="31"/>
        <v>-150</v>
      </c>
      <c r="M62" s="1"/>
      <c r="N62" s="5">
        <f t="shared" si="32"/>
        <v>-1</v>
      </c>
      <c r="O62" s="14"/>
      <c r="P62" s="1">
        <f>SUM(OSRRefP22_9x_0)</f>
        <v>3828.45</v>
      </c>
      <c r="Q62" s="1"/>
      <c r="R62" s="5">
        <f t="shared" si="33"/>
        <v>0.16193481747675317</v>
      </c>
      <c r="S62" s="1"/>
      <c r="T62" s="1">
        <f>SUM(OSRRefT22_9x_0)</f>
        <v>2550</v>
      </c>
      <c r="U62" s="1"/>
      <c r="V62" s="5">
        <f t="shared" si="34"/>
        <v>2.2846309738620298E-3</v>
      </c>
      <c r="W62" s="1"/>
      <c r="X62" s="1">
        <f t="shared" si="35"/>
        <v>1278.4499999999998</v>
      </c>
      <c r="Y62" s="1"/>
      <c r="Z62" s="5">
        <f t="shared" si="36"/>
        <v>0.50135294117647056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6.3010384111301541E-4</v>
      </c>
      <c r="K63" s="2"/>
      <c r="L63" s="7">
        <f t="shared" si="31"/>
        <v>-150</v>
      </c>
      <c r="M63" s="2"/>
      <c r="N63" s="6">
        <f t="shared" si="32"/>
        <v>-1</v>
      </c>
      <c r="O63" s="11"/>
      <c r="P63" s="7">
        <v>3828.45</v>
      </c>
      <c r="Q63" s="2"/>
      <c r="R63" s="6">
        <f t="shared" si="33"/>
        <v>0.16193481747675317</v>
      </c>
      <c r="S63" s="2"/>
      <c r="T63" s="7">
        <v>2550</v>
      </c>
      <c r="U63" s="2"/>
      <c r="V63" s="6">
        <f t="shared" si="34"/>
        <v>2.2846309738620298E-3</v>
      </c>
      <c r="W63" s="2"/>
      <c r="X63" s="7">
        <f t="shared" si="35"/>
        <v>1278.4499999999998</v>
      </c>
      <c r="Y63" s="2"/>
      <c r="Z63" s="6">
        <f t="shared" si="36"/>
        <v>0.50135294117647056</v>
      </c>
    </row>
    <row r="64" spans="1:26" s="28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19045</v>
      </c>
      <c r="I64" s="1"/>
      <c r="J64" s="5">
        <f t="shared" si="30"/>
        <v>8.000218435998252E-2</v>
      </c>
      <c r="K64" s="1"/>
      <c r="L64" s="1">
        <f t="shared" si="31"/>
        <v>-19045</v>
      </c>
      <c r="M64" s="1"/>
      <c r="N64" s="5">
        <f t="shared" si="32"/>
        <v>-1</v>
      </c>
      <c r="O64" s="14"/>
      <c r="P64" s="1">
        <f>SUM(OSRRefP22_10x_0)</f>
        <v>1899.35</v>
      </c>
      <c r="Q64" s="1"/>
      <c r="R64" s="5">
        <f t="shared" si="33"/>
        <v>8.0338229720767179E-2</v>
      </c>
      <c r="S64" s="1"/>
      <c r="T64" s="1">
        <f>SUM(OSRRefT22_10x_0)</f>
        <v>89294</v>
      </c>
      <c r="U64" s="1"/>
      <c r="V64" s="5">
        <f t="shared" si="34"/>
        <v>8.0001505168641601E-2</v>
      </c>
      <c r="W64" s="1"/>
      <c r="X64" s="1">
        <f t="shared" si="35"/>
        <v>-87394.65</v>
      </c>
      <c r="Y64" s="1"/>
      <c r="Z64" s="5">
        <f t="shared" si="36"/>
        <v>-0.97872925392523569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19045</v>
      </c>
      <c r="I65" s="2"/>
      <c r="J65" s="6">
        <f t="shared" si="30"/>
        <v>8.000218435998252E-2</v>
      </c>
      <c r="K65" s="2"/>
      <c r="L65" s="7">
        <f t="shared" si="31"/>
        <v>-19045</v>
      </c>
      <c r="M65" s="2"/>
      <c r="N65" s="6">
        <f t="shared" si="32"/>
        <v>-1</v>
      </c>
      <c r="O65" s="11"/>
      <c r="P65" s="7">
        <v>1899.35</v>
      </c>
      <c r="Q65" s="2"/>
      <c r="R65" s="6">
        <f t="shared" si="33"/>
        <v>8.0338229720767179E-2</v>
      </c>
      <c r="S65" s="2"/>
      <c r="T65" s="7">
        <v>89294</v>
      </c>
      <c r="U65" s="2"/>
      <c r="V65" s="6">
        <f t="shared" si="34"/>
        <v>8.0001505168641601E-2</v>
      </c>
      <c r="W65" s="2"/>
      <c r="X65" s="7">
        <f t="shared" si="35"/>
        <v>-87394.65</v>
      </c>
      <c r="Y65" s="2"/>
      <c r="Z65" s="6">
        <f t="shared" si="36"/>
        <v>-0.97872925392523569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9"/>
        <v>0</v>
      </c>
      <c r="G66" s="1"/>
      <c r="H66" s="1">
        <f>SUM(OSRRefH22_11x_0)</f>
        <v>2000</v>
      </c>
      <c r="I66" s="1"/>
      <c r="J66" s="5">
        <f t="shared" si="30"/>
        <v>8.4013845481735391E-3</v>
      </c>
      <c r="K66" s="1"/>
      <c r="L66" s="1">
        <f t="shared" si="31"/>
        <v>-2000</v>
      </c>
      <c r="M66" s="1"/>
      <c r="N66" s="5">
        <f t="shared" si="32"/>
        <v>-1</v>
      </c>
      <c r="O66" s="14"/>
      <c r="P66" s="1">
        <f>SUM(OSRRefP22_11x_0)</f>
        <v>1260.8499999999999</v>
      </c>
      <c r="Q66" s="1"/>
      <c r="R66" s="5">
        <f t="shared" si="33"/>
        <v>5.3331116931281383E-2</v>
      </c>
      <c r="S66" s="1"/>
      <c r="T66" s="1">
        <f>SUM(OSRRefT22_11x_0)</f>
        <v>15000</v>
      </c>
      <c r="U66" s="1"/>
      <c r="V66" s="5">
        <f t="shared" si="34"/>
        <v>1.3439005728600175E-2</v>
      </c>
      <c r="W66" s="1"/>
      <c r="X66" s="1">
        <f t="shared" si="35"/>
        <v>-13739.15</v>
      </c>
      <c r="Y66" s="1"/>
      <c r="Z66" s="5">
        <f t="shared" si="36"/>
        <v>-0.91594333333333333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0</v>
      </c>
      <c r="M67" s="2"/>
      <c r="N67" s="6">
        <f t="shared" si="32"/>
        <v>0</v>
      </c>
      <c r="O67" s="11"/>
      <c r="P67" s="7"/>
      <c r="Q67" s="2"/>
      <c r="R67" s="6">
        <f t="shared" si="33"/>
        <v>0</v>
      </c>
      <c r="S67" s="2"/>
      <c r="T67" s="7">
        <v>8000</v>
      </c>
      <c r="U67" s="2"/>
      <c r="V67" s="6">
        <f t="shared" si="34"/>
        <v>7.1674697219200932E-3</v>
      </c>
      <c r="W67" s="2"/>
      <c r="X67" s="7">
        <f t="shared" si="35"/>
        <v>-8000</v>
      </c>
      <c r="Y67" s="2"/>
      <c r="Z67" s="6">
        <f t="shared" si="36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9"/>
        <v>0</v>
      </c>
      <c r="G68" s="2"/>
      <c r="H68" s="7">
        <v>1800</v>
      </c>
      <c r="I68" s="2"/>
      <c r="J68" s="6">
        <f t="shared" si="30"/>
        <v>7.5612460933561854E-3</v>
      </c>
      <c r="K68" s="2"/>
      <c r="L68" s="7">
        <f t="shared" si="31"/>
        <v>-1800</v>
      </c>
      <c r="M68" s="2"/>
      <c r="N68" s="6">
        <f t="shared" si="32"/>
        <v>-1</v>
      </c>
      <c r="O68" s="11"/>
      <c r="P68" s="7">
        <v>1241.8499999999999</v>
      </c>
      <c r="Q68" s="2"/>
      <c r="R68" s="6">
        <f t="shared" si="33"/>
        <v>5.2527459698704676E-2</v>
      </c>
      <c r="S68" s="2"/>
      <c r="T68" s="7">
        <v>5400</v>
      </c>
      <c r="U68" s="2"/>
      <c r="V68" s="6">
        <f t="shared" si="34"/>
        <v>4.8380420622960631E-3</v>
      </c>
      <c r="W68" s="2"/>
      <c r="X68" s="7">
        <f t="shared" si="35"/>
        <v>-4158.1499999999996</v>
      </c>
      <c r="Y68" s="2"/>
      <c r="Z68" s="6">
        <f t="shared" si="36"/>
        <v>-0.77002777777777776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9"/>
        <v>0</v>
      </c>
      <c r="G69" s="2"/>
      <c r="H69" s="7">
        <v>200</v>
      </c>
      <c r="I69" s="2"/>
      <c r="J69" s="6">
        <f t="shared" si="30"/>
        <v>8.4013845481735385E-4</v>
      </c>
      <c r="K69" s="2"/>
      <c r="L69" s="7">
        <f t="shared" si="31"/>
        <v>-200</v>
      </c>
      <c r="M69" s="2"/>
      <c r="N69" s="6">
        <f t="shared" si="32"/>
        <v>-1</v>
      </c>
      <c r="O69" s="11"/>
      <c r="P69" s="7">
        <v>19</v>
      </c>
      <c r="Q69" s="2"/>
      <c r="R69" s="6">
        <f t="shared" si="33"/>
        <v>8.036572325767113E-4</v>
      </c>
      <c r="S69" s="2"/>
      <c r="T69" s="7">
        <v>1600</v>
      </c>
      <c r="U69" s="2"/>
      <c r="V69" s="6">
        <f t="shared" si="34"/>
        <v>1.4334939443840188E-3</v>
      </c>
      <c r="W69" s="2"/>
      <c r="X69" s="7">
        <f t="shared" si="35"/>
        <v>-1581</v>
      </c>
      <c r="Y69" s="2"/>
      <c r="Z69" s="6">
        <f t="shared" si="36"/>
        <v>-0.98812500000000003</v>
      </c>
    </row>
    <row r="70" spans="1:26" s="28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4749.42</v>
      </c>
      <c r="E70" s="1"/>
      <c r="F70" s="5">
        <f t="shared" ref="F70:F74" si="37">IF(D$12=0,0,D70/D$12)</f>
        <v>0</v>
      </c>
      <c r="G70" s="1"/>
      <c r="H70" s="1">
        <f>SUM(OSRRefH22_12x_0)</f>
        <v>6879</v>
      </c>
      <c r="I70" s="1"/>
      <c r="J70" s="5">
        <f t="shared" ref="J70:J74" si="38">IF(H$12=0,0,H70/H$12)</f>
        <v>2.8896562153442888E-2</v>
      </c>
      <c r="K70" s="1"/>
      <c r="L70" s="1">
        <f t="shared" ref="L70:L74" si="39">+D70-H70</f>
        <v>-2129.58</v>
      </c>
      <c r="M70" s="1"/>
      <c r="N70" s="5">
        <f t="shared" ref="N70:N74" si="40">IF(H70=0,0,L70/H70)</f>
        <v>-0.30957697339729612</v>
      </c>
      <c r="O70" s="14"/>
      <c r="P70" s="1">
        <f>SUM(OSRRefP22_12x_0)</f>
        <v>46157.060000000005</v>
      </c>
      <c r="Q70" s="1"/>
      <c r="R70" s="5">
        <f t="shared" ref="R70:R74" si="41">IF(P$12=0,0,P70/P$12)</f>
        <v>1.9523397422882747</v>
      </c>
      <c r="S70" s="1"/>
      <c r="T70" s="1">
        <f>SUM(OSRRefT22_12x_0)</f>
        <v>53400</v>
      </c>
      <c r="U70" s="1"/>
      <c r="V70" s="5">
        <f t="shared" ref="V70:V74" si="42">IF(T$12=0,0,T70/T$12)</f>
        <v>4.7842860393816626E-2</v>
      </c>
      <c r="W70" s="1"/>
      <c r="X70" s="1">
        <f t="shared" ref="X70:X74" si="43">+P70-T70</f>
        <v>-7242.9399999999951</v>
      </c>
      <c r="Y70" s="1"/>
      <c r="Z70" s="5">
        <f t="shared" ref="Z70:Z74" si="44">IF(T70=0,0,X70/T70)</f>
        <v>-0.13563558052434449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/>
      <c r="E71" s="2"/>
      <c r="F71" s="6">
        <f t="shared" si="37"/>
        <v>0</v>
      </c>
      <c r="G71" s="2"/>
      <c r="H71" s="7">
        <v>450</v>
      </c>
      <c r="I71" s="2"/>
      <c r="J71" s="6">
        <f t="shared" si="38"/>
        <v>1.8903115233390463E-3</v>
      </c>
      <c r="K71" s="2"/>
      <c r="L71" s="7">
        <f t="shared" si="39"/>
        <v>-450</v>
      </c>
      <c r="M71" s="2"/>
      <c r="N71" s="6">
        <f t="shared" si="40"/>
        <v>-1</v>
      </c>
      <c r="O71" s="11"/>
      <c r="P71" s="7">
        <v>3009.62</v>
      </c>
      <c r="Q71" s="2"/>
      <c r="R71" s="6">
        <f t="shared" si="41"/>
        <v>0.12730015159513272</v>
      </c>
      <c r="S71" s="2"/>
      <c r="T71" s="7">
        <v>3600</v>
      </c>
      <c r="U71" s="2"/>
      <c r="V71" s="6">
        <f t="shared" si="42"/>
        <v>3.2253613748640421E-3</v>
      </c>
      <c r="W71" s="2"/>
      <c r="X71" s="7">
        <f t="shared" si="43"/>
        <v>-590.38000000000011</v>
      </c>
      <c r="Y71" s="2"/>
      <c r="Z71" s="6">
        <f t="shared" si="44"/>
        <v>-0.16399444444444447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7"/>
        <v>0</v>
      </c>
      <c r="G72" s="2"/>
      <c r="H72" s="7">
        <v>500</v>
      </c>
      <c r="I72" s="2"/>
      <c r="J72" s="6">
        <f t="shared" si="38"/>
        <v>2.1003461370433848E-3</v>
      </c>
      <c r="K72" s="2"/>
      <c r="L72" s="7">
        <f t="shared" si="39"/>
        <v>-500</v>
      </c>
      <c r="M72" s="2"/>
      <c r="N72" s="6">
        <f t="shared" si="40"/>
        <v>-1</v>
      </c>
      <c r="O72" s="11"/>
      <c r="P72" s="7"/>
      <c r="Q72" s="2"/>
      <c r="R72" s="6">
        <f t="shared" si="41"/>
        <v>0</v>
      </c>
      <c r="S72" s="2"/>
      <c r="T72" s="7">
        <v>4000</v>
      </c>
      <c r="U72" s="2"/>
      <c r="V72" s="6">
        <f t="shared" si="42"/>
        <v>3.5837348609600466E-3</v>
      </c>
      <c r="W72" s="2"/>
      <c r="X72" s="7">
        <f t="shared" si="43"/>
        <v>-4000</v>
      </c>
      <c r="Y72" s="2"/>
      <c r="Z72" s="6">
        <f t="shared" si="44"/>
        <v>-1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4428.8599999999997</v>
      </c>
      <c r="E73" s="2"/>
      <c r="F73" s="6">
        <f t="shared" si="37"/>
        <v>0</v>
      </c>
      <c r="G73" s="2"/>
      <c r="H73" s="7">
        <v>4429</v>
      </c>
      <c r="I73" s="2"/>
      <c r="J73" s="6">
        <f t="shared" si="38"/>
        <v>1.8604866081930301E-2</v>
      </c>
      <c r="K73" s="2"/>
      <c r="L73" s="7">
        <f t="shared" si="39"/>
        <v>-0.14000000000032742</v>
      </c>
      <c r="M73" s="2"/>
      <c r="N73" s="6">
        <f t="shared" si="40"/>
        <v>-3.16098442086989E-5</v>
      </c>
      <c r="O73" s="11"/>
      <c r="P73" s="7">
        <v>37957.07</v>
      </c>
      <c r="Q73" s="2"/>
      <c r="R73" s="6">
        <f t="shared" si="41"/>
        <v>1.6054986227852899</v>
      </c>
      <c r="S73" s="2"/>
      <c r="T73" s="7">
        <v>33800</v>
      </c>
      <c r="U73" s="2"/>
      <c r="V73" s="6">
        <f t="shared" si="42"/>
        <v>3.0282559575112396E-2</v>
      </c>
      <c r="W73" s="2"/>
      <c r="X73" s="7">
        <f t="shared" si="43"/>
        <v>4157.07</v>
      </c>
      <c r="Y73" s="2"/>
      <c r="Z73" s="6">
        <f t="shared" si="44"/>
        <v>0.12299023668639053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7">
        <v>320.56</v>
      </c>
      <c r="E74" s="2"/>
      <c r="F74" s="6">
        <f t="shared" si="37"/>
        <v>0</v>
      </c>
      <c r="G74" s="2"/>
      <c r="H74" s="7">
        <v>1500</v>
      </c>
      <c r="I74" s="2"/>
      <c r="J74" s="6">
        <f t="shared" si="38"/>
        <v>6.3010384111301544E-3</v>
      </c>
      <c r="K74" s="2"/>
      <c r="L74" s="7">
        <f t="shared" si="39"/>
        <v>-1179.44</v>
      </c>
      <c r="M74" s="2"/>
      <c r="N74" s="6">
        <f t="shared" si="40"/>
        <v>-0.7862933333333334</v>
      </c>
      <c r="O74" s="11"/>
      <c r="P74" s="7">
        <v>5190.37</v>
      </c>
      <c r="Q74" s="2"/>
      <c r="R74" s="6">
        <f t="shared" si="41"/>
        <v>0.21954096790785183</v>
      </c>
      <c r="S74" s="2"/>
      <c r="T74" s="7">
        <v>12000</v>
      </c>
      <c r="U74" s="2"/>
      <c r="V74" s="6">
        <f t="shared" si="42"/>
        <v>1.075120458288014E-2</v>
      </c>
      <c r="W74" s="2"/>
      <c r="X74" s="7">
        <f t="shared" si="43"/>
        <v>-6809.63</v>
      </c>
      <c r="Y74" s="2"/>
      <c r="Z74" s="6">
        <f t="shared" si="44"/>
        <v>-0.56746916666666669</v>
      </c>
    </row>
    <row r="75" spans="1:26" s="28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0</v>
      </c>
      <c r="E75" s="1"/>
      <c r="F75" s="5">
        <f t="shared" ref="F75:F83" si="45">IF(D$12=0,0,D75/D$12)</f>
        <v>0</v>
      </c>
      <c r="G75" s="1"/>
      <c r="H75" s="1">
        <f>SUM(OSRRefH22_13x_0)</f>
        <v>11750</v>
      </c>
      <c r="I75" s="1"/>
      <c r="J75" s="5">
        <f t="shared" ref="J75:J83" si="46">IF(H$12=0,0,H75/H$12)</f>
        <v>4.9358134220519545E-2</v>
      </c>
      <c r="K75" s="1"/>
      <c r="L75" s="1">
        <f t="shared" ref="L75:L83" si="47">+D75-H75</f>
        <v>-11750</v>
      </c>
      <c r="M75" s="1"/>
      <c r="N75" s="5">
        <f t="shared" ref="N75:N83" si="48">IF(H75=0,0,L75/H75)</f>
        <v>-1</v>
      </c>
      <c r="O75" s="14"/>
      <c r="P75" s="1">
        <f>SUM(OSRRefP22_13x_0)</f>
        <v>10125.33</v>
      </c>
      <c r="Q75" s="1"/>
      <c r="R75" s="5">
        <f t="shared" ref="R75:R83" si="49">IF(P$12=0,0,P75/P$12)</f>
        <v>0.42827866772241852</v>
      </c>
      <c r="S75" s="1"/>
      <c r="T75" s="1">
        <f>SUM(OSRRefT22_13x_0)</f>
        <v>100000</v>
      </c>
      <c r="U75" s="1"/>
      <c r="V75" s="5">
        <f t="shared" ref="V75:V83" si="50">IF(T$12=0,0,T75/T$12)</f>
        <v>8.9593371524001167E-2</v>
      </c>
      <c r="W75" s="1"/>
      <c r="X75" s="1">
        <f t="shared" ref="X75:X83" si="51">+P75-T75</f>
        <v>-89874.67</v>
      </c>
      <c r="Y75" s="1"/>
      <c r="Z75" s="5">
        <f t="shared" ref="Z75:Z83" si="52">IF(T75=0,0,X75/T75)</f>
        <v>-0.89874670000000001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5"/>
        <v>0</v>
      </c>
      <c r="G76" s="2"/>
      <c r="H76" s="7">
        <v>5000</v>
      </c>
      <c r="I76" s="2"/>
      <c r="J76" s="6">
        <f t="shared" si="46"/>
        <v>2.1003461370433848E-2</v>
      </c>
      <c r="K76" s="2"/>
      <c r="L76" s="7">
        <f t="shared" si="47"/>
        <v>-5000</v>
      </c>
      <c r="M76" s="2"/>
      <c r="N76" s="6">
        <f t="shared" si="48"/>
        <v>-1</v>
      </c>
      <c r="O76" s="11"/>
      <c r="P76" s="7">
        <v>1375.08</v>
      </c>
      <c r="Q76" s="2"/>
      <c r="R76" s="6">
        <f t="shared" si="49"/>
        <v>5.8162788809030738E-2</v>
      </c>
      <c r="S76" s="2"/>
      <c r="T76" s="7">
        <v>40000</v>
      </c>
      <c r="U76" s="2"/>
      <c r="V76" s="6">
        <f t="shared" si="50"/>
        <v>3.5837348609600465E-2</v>
      </c>
      <c r="W76" s="2"/>
      <c r="X76" s="7">
        <f t="shared" si="51"/>
        <v>-38624.92</v>
      </c>
      <c r="Y76" s="2"/>
      <c r="Z76" s="6">
        <f t="shared" si="52"/>
        <v>-0.96562300000000001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5"/>
        <v>0</v>
      </c>
      <c r="G77" s="2"/>
      <c r="H77" s="7">
        <v>4000</v>
      </c>
      <c r="I77" s="2"/>
      <c r="J77" s="6">
        <f t="shared" si="46"/>
        <v>1.6802769096347078E-2</v>
      </c>
      <c r="K77" s="2"/>
      <c r="L77" s="7">
        <f t="shared" si="47"/>
        <v>-4000</v>
      </c>
      <c r="M77" s="2"/>
      <c r="N77" s="6">
        <f t="shared" si="48"/>
        <v>-1</v>
      </c>
      <c r="O77" s="11"/>
      <c r="P77" s="7">
        <v>4689.93</v>
      </c>
      <c r="Q77" s="2"/>
      <c r="R77" s="6">
        <f t="shared" si="49"/>
        <v>0.19837348235676294</v>
      </c>
      <c r="S77" s="2"/>
      <c r="T77" s="7">
        <v>32000</v>
      </c>
      <c r="U77" s="2"/>
      <c r="V77" s="6">
        <f t="shared" si="50"/>
        <v>2.8669878887680373E-2</v>
      </c>
      <c r="W77" s="2"/>
      <c r="X77" s="7">
        <f t="shared" si="51"/>
        <v>-27310.07</v>
      </c>
      <c r="Y77" s="2"/>
      <c r="Z77" s="6">
        <f t="shared" si="52"/>
        <v>-0.85343968749999999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7"/>
      <c r="E78" s="2"/>
      <c r="F78" s="6">
        <f t="shared" si="45"/>
        <v>0</v>
      </c>
      <c r="G78" s="2"/>
      <c r="H78" s="7">
        <v>1500</v>
      </c>
      <c r="I78" s="2"/>
      <c r="J78" s="6">
        <f t="shared" si="46"/>
        <v>6.3010384111301544E-3</v>
      </c>
      <c r="K78" s="2"/>
      <c r="L78" s="7">
        <f t="shared" si="47"/>
        <v>-1500</v>
      </c>
      <c r="M78" s="2"/>
      <c r="N78" s="6">
        <f t="shared" si="48"/>
        <v>-1</v>
      </c>
      <c r="O78" s="11"/>
      <c r="P78" s="7">
        <v>1031.07</v>
      </c>
      <c r="Q78" s="2"/>
      <c r="R78" s="6">
        <f t="shared" si="49"/>
        <v>4.3611940146993135E-2</v>
      </c>
      <c r="S78" s="2"/>
      <c r="T78" s="7">
        <v>12000</v>
      </c>
      <c r="U78" s="2"/>
      <c r="V78" s="6">
        <f t="shared" si="50"/>
        <v>1.075120458288014E-2</v>
      </c>
      <c r="W78" s="2"/>
      <c r="X78" s="7">
        <f t="shared" si="51"/>
        <v>-10968.93</v>
      </c>
      <c r="Y78" s="2"/>
      <c r="Z78" s="6">
        <f t="shared" si="52"/>
        <v>-0.91407749999999999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2.1003461370433848E-3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19.7</v>
      </c>
      <c r="Q79" s="2"/>
      <c r="R79" s="6">
        <f t="shared" si="49"/>
        <v>8.3326565693480064E-4</v>
      </c>
      <c r="S79" s="2"/>
      <c r="T79" s="7">
        <v>4000</v>
      </c>
      <c r="U79" s="2"/>
      <c r="V79" s="6">
        <f t="shared" si="50"/>
        <v>3.5837348609600466E-3</v>
      </c>
      <c r="W79" s="2"/>
      <c r="X79" s="7">
        <f t="shared" si="51"/>
        <v>-3980.3</v>
      </c>
      <c r="Y79" s="2"/>
      <c r="Z79" s="6">
        <f t="shared" si="52"/>
        <v>-0.99507500000000004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7"/>
      <c r="E80" s="2"/>
      <c r="F80" s="6">
        <f t="shared" si="45"/>
        <v>0</v>
      </c>
      <c r="G80" s="2"/>
      <c r="H80" s="7">
        <v>500</v>
      </c>
      <c r="I80" s="2"/>
      <c r="J80" s="6">
        <f t="shared" si="46"/>
        <v>2.1003461370433848E-3</v>
      </c>
      <c r="K80" s="2"/>
      <c r="L80" s="7">
        <f t="shared" si="47"/>
        <v>-500</v>
      </c>
      <c r="M80" s="2"/>
      <c r="N80" s="6">
        <f t="shared" si="48"/>
        <v>-1</v>
      </c>
      <c r="O80" s="11"/>
      <c r="P80" s="7">
        <v>3009.55</v>
      </c>
      <c r="Q80" s="2"/>
      <c r="R80" s="6">
        <f t="shared" si="49"/>
        <v>0.12729719075269691</v>
      </c>
      <c r="S80" s="2"/>
      <c r="T80" s="7">
        <v>4000</v>
      </c>
      <c r="U80" s="2"/>
      <c r="V80" s="6">
        <f t="shared" si="50"/>
        <v>3.5837348609600466E-3</v>
      </c>
      <c r="W80" s="2"/>
      <c r="X80" s="7">
        <f t="shared" si="51"/>
        <v>-990.44999999999982</v>
      </c>
      <c r="Y80" s="2"/>
      <c r="Z80" s="6">
        <f t="shared" si="52"/>
        <v>-0.24761249999999996</v>
      </c>
    </row>
    <row r="81" spans="1:26" s="24" customFormat="1" hidden="1" outlineLevel="2" x14ac:dyDescent="0.25">
      <c r="A81" s="27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5"/>
        <v>0</v>
      </c>
      <c r="G81" s="2"/>
      <c r="H81" s="7">
        <v>100</v>
      </c>
      <c r="I81" s="2"/>
      <c r="J81" s="6">
        <f t="shared" si="46"/>
        <v>4.2006922740867692E-4</v>
      </c>
      <c r="K81" s="2"/>
      <c r="L81" s="7">
        <f t="shared" si="47"/>
        <v>-100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800</v>
      </c>
      <c r="U81" s="2"/>
      <c r="V81" s="6">
        <f t="shared" si="50"/>
        <v>7.1674697219200939E-4</v>
      </c>
      <c r="W81" s="2"/>
      <c r="X81" s="7">
        <f t="shared" si="51"/>
        <v>-800</v>
      </c>
      <c r="Y81" s="2"/>
      <c r="Z81" s="6">
        <f t="shared" si="52"/>
        <v>-1</v>
      </c>
    </row>
    <row r="82" spans="1:26" s="24" customFormat="1" hidden="1" outlineLevel="2" x14ac:dyDescent="0.25">
      <c r="A82" s="27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5"/>
        <v>0</v>
      </c>
      <c r="G82" s="2"/>
      <c r="H82" s="7">
        <v>150</v>
      </c>
      <c r="I82" s="2"/>
      <c r="J82" s="6">
        <f t="shared" si="46"/>
        <v>6.3010384111301541E-4</v>
      </c>
      <c r="K82" s="2"/>
      <c r="L82" s="7">
        <f t="shared" si="47"/>
        <v>-150</v>
      </c>
      <c r="M82" s="2"/>
      <c r="N82" s="6">
        <f t="shared" si="48"/>
        <v>-1</v>
      </c>
      <c r="O82" s="11"/>
      <c r="P82" s="7"/>
      <c r="Q82" s="2"/>
      <c r="R82" s="6">
        <f t="shared" si="49"/>
        <v>0</v>
      </c>
      <c r="S82" s="2"/>
      <c r="T82" s="7">
        <v>1200</v>
      </c>
      <c r="U82" s="2"/>
      <c r="V82" s="6">
        <f t="shared" si="50"/>
        <v>1.075120458288014E-3</v>
      </c>
      <c r="W82" s="2"/>
      <c r="X82" s="7">
        <f t="shared" si="51"/>
        <v>-1200</v>
      </c>
      <c r="Y82" s="2"/>
      <c r="Z82" s="6">
        <f t="shared" si="52"/>
        <v>-1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/>
      <c r="Q83" s="2"/>
      <c r="R83" s="6">
        <f t="shared" si="49"/>
        <v>0</v>
      </c>
      <c r="S83" s="2"/>
      <c r="T83" s="7">
        <v>6000</v>
      </c>
      <c r="U83" s="2"/>
      <c r="V83" s="6">
        <f t="shared" si="50"/>
        <v>5.3756022914400702E-3</v>
      </c>
      <c r="W83" s="2"/>
      <c r="X83" s="7">
        <f t="shared" si="51"/>
        <v>-6000</v>
      </c>
      <c r="Y83" s="2"/>
      <c r="Z83" s="6">
        <f t="shared" si="52"/>
        <v>-1</v>
      </c>
    </row>
    <row r="84" spans="1:26" s="28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89</v>
      </c>
      <c r="E84" s="1"/>
      <c r="F84" s="5">
        <f t="shared" ref="F84:F87" si="53">IF(D$12=0,0,D84/D$12)</f>
        <v>0</v>
      </c>
      <c r="G84" s="1"/>
      <c r="H84" s="1">
        <f>SUM(OSRRefH22_14x_0)</f>
        <v>175</v>
      </c>
      <c r="I84" s="1"/>
      <c r="J84" s="5">
        <f t="shared" ref="J84:J87" si="54">IF(H$12=0,0,H84/H$12)</f>
        <v>7.3512114796518463E-4</v>
      </c>
      <c r="K84" s="1"/>
      <c r="L84" s="1">
        <f t="shared" ref="L84:L87" si="55">+D84-H84</f>
        <v>-86</v>
      </c>
      <c r="M84" s="1"/>
      <c r="N84" s="5">
        <f t="shared" ref="N84:N87" si="56">IF(H84=0,0,L84/H84)</f>
        <v>-0.49142857142857144</v>
      </c>
      <c r="O84" s="14"/>
      <c r="P84" s="1">
        <f>SUM(OSRRefP22_14x_0)</f>
        <v>1098</v>
      </c>
      <c r="Q84" s="1"/>
      <c r="R84" s="5">
        <f t="shared" ref="R84:R87" si="57">IF(P$12=0,0,P84/P$12)</f>
        <v>4.6442928493117312E-2</v>
      </c>
      <c r="S84" s="1"/>
      <c r="T84" s="1">
        <f>SUM(OSRRefT22_14x_0)</f>
        <v>1400</v>
      </c>
      <c r="U84" s="1"/>
      <c r="V84" s="5">
        <f t="shared" ref="V84:V87" si="58">IF(T$12=0,0,T84/T$12)</f>
        <v>1.2543072013360163E-3</v>
      </c>
      <c r="W84" s="1"/>
      <c r="X84" s="1">
        <f t="shared" ref="X84:X87" si="59">+P84-T84</f>
        <v>-302</v>
      </c>
      <c r="Y84" s="1"/>
      <c r="Z84" s="5">
        <f t="shared" ref="Z84:Z87" si="60">IF(T84=0,0,X84/T84)</f>
        <v>-0.21571428571428572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7">
        <v>89</v>
      </c>
      <c r="E85" s="2"/>
      <c r="F85" s="6">
        <f t="shared" si="53"/>
        <v>0</v>
      </c>
      <c r="G85" s="2"/>
      <c r="H85" s="7">
        <v>175</v>
      </c>
      <c r="I85" s="2"/>
      <c r="J85" s="6">
        <f t="shared" si="54"/>
        <v>7.3512114796518463E-4</v>
      </c>
      <c r="K85" s="2"/>
      <c r="L85" s="7">
        <f t="shared" si="55"/>
        <v>-86</v>
      </c>
      <c r="M85" s="2"/>
      <c r="N85" s="6">
        <f t="shared" si="56"/>
        <v>-0.49142857142857144</v>
      </c>
      <c r="O85" s="11"/>
      <c r="P85" s="7">
        <v>1098</v>
      </c>
      <c r="Q85" s="2"/>
      <c r="R85" s="6">
        <f t="shared" si="57"/>
        <v>4.6442928493117312E-2</v>
      </c>
      <c r="S85" s="2"/>
      <c r="T85" s="7">
        <v>1400</v>
      </c>
      <c r="U85" s="2"/>
      <c r="V85" s="6">
        <f t="shared" si="58"/>
        <v>1.2543072013360163E-3</v>
      </c>
      <c r="W85" s="2"/>
      <c r="X85" s="7">
        <f t="shared" si="59"/>
        <v>-302</v>
      </c>
      <c r="Y85" s="2"/>
      <c r="Z85" s="6">
        <f t="shared" si="60"/>
        <v>-0.21571428571428572</v>
      </c>
    </row>
    <row r="86" spans="1:26" s="28" customFormat="1" outlineLevel="1" collapsed="1" x14ac:dyDescent="0.25">
      <c r="A86" s="29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0</v>
      </c>
      <c r="I86" s="1"/>
      <c r="J86" s="5">
        <f t="shared" si="54"/>
        <v>0</v>
      </c>
      <c r="K86" s="1"/>
      <c r="L86" s="1">
        <f t="shared" si="55"/>
        <v>0</v>
      </c>
      <c r="M86" s="1"/>
      <c r="N86" s="5">
        <f t="shared" si="56"/>
        <v>0</v>
      </c>
      <c r="O86" s="14"/>
      <c r="P86" s="1">
        <f>SUM(OSRRefP22_15x_0)</f>
        <v>0</v>
      </c>
      <c r="Q86" s="1"/>
      <c r="R86" s="5">
        <f t="shared" si="57"/>
        <v>0</v>
      </c>
      <c r="S86" s="1"/>
      <c r="T86" s="1">
        <f>SUM(OSRRefT22_15x_0)</f>
        <v>1500</v>
      </c>
      <c r="U86" s="1"/>
      <c r="V86" s="5">
        <f t="shared" si="58"/>
        <v>1.3439005728600175E-3</v>
      </c>
      <c r="W86" s="1"/>
      <c r="X86" s="1">
        <f t="shared" si="59"/>
        <v>-1500</v>
      </c>
      <c r="Y86" s="1"/>
      <c r="Z86" s="5">
        <f t="shared" si="60"/>
        <v>-1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3"/>
        <v>0</v>
      </c>
      <c r="G87" s="2"/>
      <c r="H87" s="7"/>
      <c r="I87" s="2"/>
      <c r="J87" s="6">
        <f t="shared" si="54"/>
        <v>0</v>
      </c>
      <c r="K87" s="2"/>
      <c r="L87" s="7">
        <f t="shared" si="55"/>
        <v>0</v>
      </c>
      <c r="M87" s="2"/>
      <c r="N87" s="6">
        <f t="shared" si="56"/>
        <v>0</v>
      </c>
      <c r="O87" s="11"/>
      <c r="P87" s="7"/>
      <c r="Q87" s="2"/>
      <c r="R87" s="6">
        <f t="shared" si="57"/>
        <v>0</v>
      </c>
      <c r="S87" s="2"/>
      <c r="T87" s="7">
        <v>1500</v>
      </c>
      <c r="U87" s="2"/>
      <c r="V87" s="6">
        <f t="shared" si="58"/>
        <v>1.3439005728600175E-3</v>
      </c>
      <c r="W87" s="2"/>
      <c r="X87" s="7">
        <f t="shared" si="59"/>
        <v>-1500</v>
      </c>
      <c r="Y87" s="2"/>
      <c r="Z87" s="6">
        <f t="shared" si="60"/>
        <v>-1</v>
      </c>
    </row>
    <row r="88" spans="1:26" s="58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6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3</v>
      </c>
      <c r="C91" s="25"/>
      <c r="D91" s="19">
        <f>+D23-D25+D89</f>
        <v>-46306.989999999991</v>
      </c>
      <c r="E91" s="13"/>
      <c r="F91" s="21">
        <f>IF(D$12=0,0,D91/D$12)</f>
        <v>0</v>
      </c>
      <c r="G91" s="13"/>
      <c r="H91" s="19">
        <f>+H23-H25+H89</f>
        <v>36847.495769230765</v>
      </c>
      <c r="I91" s="13"/>
      <c r="J91" s="21">
        <f>IF(H$12=0,0,H91/H$12)</f>
        <v>0.15478499079725261</v>
      </c>
      <c r="K91" s="15"/>
      <c r="L91" s="19">
        <f>+D91-H91</f>
        <v>-83154.485769230756</v>
      </c>
      <c r="M91" s="15"/>
      <c r="N91" s="21">
        <f>IF(H91=0,0,L91/H91)</f>
        <v>-2.2567201388667586</v>
      </c>
      <c r="O91" s="26"/>
      <c r="P91" s="19">
        <f>+P23-P25+P89</f>
        <v>-416297.77999999997</v>
      </c>
      <c r="Q91" s="13"/>
      <c r="R91" s="21">
        <f>IF(P$12=0,0,P91/P$12)</f>
        <v>-17.608459042243609</v>
      </c>
      <c r="S91" s="13"/>
      <c r="T91" s="19">
        <f>+T23-T25+T89</f>
        <v>-203558.66171423066</v>
      </c>
      <c r="U91" s="13"/>
      <c r="V91" s="21">
        <f>IF(T$12=0,0,T91/T$12)</f>
        <v>-0.1823750680589154</v>
      </c>
      <c r="W91" s="15"/>
      <c r="X91" s="19">
        <f>+P91-T91</f>
        <v>-212739.11828576931</v>
      </c>
      <c r="Y91" s="15"/>
      <c r="Z91" s="21">
        <f>IF(T91=0,0,X91/T91)</f>
        <v>1.0450998080564451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390.32</v>
      </c>
      <c r="E93" s="4"/>
      <c r="F93" s="12">
        <f>IF(D$12=0,0,D93/D$12)</f>
        <v>0</v>
      </c>
      <c r="G93" s="4"/>
      <c r="H93" s="4">
        <v>39568</v>
      </c>
      <c r="I93" s="4"/>
      <c r="J93" s="12">
        <f>IF(H$12=0,0,H93/H$12)</f>
        <v>0.16621299190106528</v>
      </c>
      <c r="K93" s="4"/>
      <c r="L93" s="4">
        <f>+D93-H93</f>
        <v>-39177.68</v>
      </c>
      <c r="M93" s="4"/>
      <c r="N93" s="12">
        <f>IF(H93=0,0,L93/H93)</f>
        <v>-0.99013546300040434</v>
      </c>
      <c r="O93" s="10"/>
      <c r="P93" s="4">
        <v>4681.95</v>
      </c>
      <c r="Q93" s="4"/>
      <c r="R93" s="12">
        <f>IF(P$12=0,0,P93/P$12)</f>
        <v>0.1980359463190807</v>
      </c>
      <c r="S93" s="4"/>
      <c r="T93" s="4">
        <v>191954</v>
      </c>
      <c r="U93" s="4"/>
      <c r="V93" s="12">
        <f>IF(T$12=0,0,T93/T$12)</f>
        <v>0.17197806037518121</v>
      </c>
      <c r="W93" s="4"/>
      <c r="X93" s="4">
        <f>+P93-T93</f>
        <v>-187272.05</v>
      </c>
      <c r="Y93" s="4"/>
      <c r="Z93" s="12">
        <f>IF(T93=0,0,X93/T93)</f>
        <v>-0.97560900007293405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4</v>
      </c>
      <c r="C95" s="25"/>
      <c r="D95" s="34">
        <f>+D91-D93</f>
        <v>-46697.30999999999</v>
      </c>
      <c r="E95" s="13"/>
      <c r="F95" s="30">
        <f>IF(D$12=0,0,D95/D$12)</f>
        <v>0</v>
      </c>
      <c r="G95" s="13"/>
      <c r="H95" s="34">
        <f>+H91-H93</f>
        <v>-2720.5042307692347</v>
      </c>
      <c r="I95" s="13"/>
      <c r="J95" s="30">
        <f>IF(H$12=0,0,H95/H$12)</f>
        <v>-1.1428001103812695E-2</v>
      </c>
      <c r="K95" s="15"/>
      <c r="L95" s="34">
        <f>D95-H95</f>
        <v>-43976.805769230756</v>
      </c>
      <c r="M95" s="15"/>
      <c r="N95" s="30">
        <f>IF(H95=0,0,L95/H95)</f>
        <v>16.164946656523345</v>
      </c>
      <c r="O95" s="26"/>
      <c r="P95" s="34">
        <f>+P91-P93</f>
        <v>-420979.73</v>
      </c>
      <c r="Q95" s="13"/>
      <c r="R95" s="30">
        <f>IF(P$12=0,0,P95/P$12)</f>
        <v>-17.80649498856269</v>
      </c>
      <c r="S95" s="13"/>
      <c r="T95" s="34">
        <f>+T91-T93</f>
        <v>-395512.66171423066</v>
      </c>
      <c r="U95" s="13"/>
      <c r="V95" s="30">
        <f>IF(T$12=0,0,T95/T$12)</f>
        <v>-0.35435312843409661</v>
      </c>
      <c r="W95" s="15"/>
      <c r="X95" s="34">
        <f>P95-T95</f>
        <v>-25467.068285769317</v>
      </c>
      <c r="Y95" s="15"/>
      <c r="Z95" s="30">
        <f>IF(T95=0,0,X95/T95)</f>
        <v>6.4390020221830491E-2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5</v>
      </c>
      <c r="C98" s="25"/>
      <c r="D98" s="35">
        <f>SUM(D95:D97)</f>
        <v>-46697.30999999999</v>
      </c>
      <c r="E98" s="13"/>
      <c r="F98" s="31">
        <f>IF(D$12=0,0,D98/D$12)</f>
        <v>0</v>
      </c>
      <c r="G98" s="13"/>
      <c r="H98" s="35">
        <f>SUM(H95:H97)</f>
        <v>-2720.5042307692347</v>
      </c>
      <c r="I98" s="13"/>
      <c r="J98" s="31">
        <f>IF(H$12=0,0,H98/H$12)</f>
        <v>-1.1428001103812695E-2</v>
      </c>
      <c r="K98" s="15"/>
      <c r="L98" s="35">
        <f>+D98-H98</f>
        <v>-43976.805769230756</v>
      </c>
      <c r="M98" s="15"/>
      <c r="N98" s="31">
        <f>IF(H98=0,0,L98/H98)</f>
        <v>16.164946656523345</v>
      </c>
      <c r="O98" s="26"/>
      <c r="P98" s="35">
        <f>SUM(P95:P97)</f>
        <v>-420979.73</v>
      </c>
      <c r="Q98" s="13"/>
      <c r="R98" s="31">
        <f>IF(P$12=0,0,P98/P$12)</f>
        <v>-17.80649498856269</v>
      </c>
      <c r="S98" s="13"/>
      <c r="T98" s="35">
        <f>SUM(T95:T97)</f>
        <v>-395512.66171423066</v>
      </c>
      <c r="U98" s="13"/>
      <c r="V98" s="31">
        <f>IF(T$12=0,0,T98/T$12)</f>
        <v>-0.35435312843409661</v>
      </c>
      <c r="W98" s="15"/>
      <c r="X98" s="35">
        <f>+P98-T98</f>
        <v>-25467.068285769317</v>
      </c>
      <c r="Y98" s="15"/>
      <c r="Z98" s="31">
        <f>IF(T98=0,0,X98/T98)</f>
        <v>6.4390020221830491E-2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3">
        <v>44267.672252280092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62" t="s">
        <v>314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7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0</v>
      </c>
      <c r="E18" s="20"/>
      <c r="F18" s="33">
        <f t="shared" ref="F18:F20" si="0">IF(D$12=0,0,D18/D$12)</f>
        <v>0</v>
      </c>
      <c r="G18" s="20"/>
      <c r="H18" s="20">
        <f>SUM(OSRRefH22x_0)</f>
        <v>0</v>
      </c>
      <c r="I18" s="20"/>
      <c r="J18" s="33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3">
        <f t="shared" ref="N18:N20" si="3">IF(H18=0,0,L18/H18)</f>
        <v>0</v>
      </c>
      <c r="O18" s="10"/>
      <c r="P18" s="20">
        <f>SUM(OSRRefP22x_0)</f>
        <v>178.69</v>
      </c>
      <c r="Q18" s="20"/>
      <c r="R18" s="33">
        <f t="shared" ref="R18:R20" si="4">IF(P$12=0,0,P18/P$12)</f>
        <v>0</v>
      </c>
      <c r="S18" s="20"/>
      <c r="T18" s="20">
        <f>SUM(OSRRefT22x_0)</f>
        <v>0</v>
      </c>
      <c r="U18" s="20"/>
      <c r="V18" s="33">
        <f t="shared" ref="V18:V20" si="5">IF(T$12=0,0,T18/T$12)</f>
        <v>0</v>
      </c>
      <c r="W18" s="4"/>
      <c r="X18" s="20">
        <f t="shared" ref="X18:X20" si="6">+P18-T18</f>
        <v>178.69</v>
      </c>
      <c r="Y18" s="4"/>
      <c r="Z18" s="33">
        <f t="shared" ref="Z18:Z20" si="7">IF(T18=0,0,X18/T18)</f>
        <v>0</v>
      </c>
    </row>
    <row r="19" spans="1:26" s="28" customFormat="1" outlineLevel="1" collapsed="1" x14ac:dyDescent="0.25">
      <c r="A19" s="29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58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19">
        <f>+D16-D18+D22</f>
        <v>0</v>
      </c>
      <c r="E24" s="13"/>
      <c r="F24" s="21">
        <f>IF(D$12=0,0,D24/D$12)</f>
        <v>0</v>
      </c>
      <c r="G24" s="13"/>
      <c r="H24" s="19">
        <f>+H16-H18+H22</f>
        <v>0</v>
      </c>
      <c r="I24" s="13"/>
      <c r="J24" s="21">
        <f>IF(H$12=0,0,H24/H$12)</f>
        <v>0</v>
      </c>
      <c r="K24" s="15"/>
      <c r="L24" s="19">
        <f>+D24-H24</f>
        <v>0</v>
      </c>
      <c r="M24" s="15"/>
      <c r="N24" s="21">
        <f>IF(H24=0,0,L24/H24)</f>
        <v>0</v>
      </c>
      <c r="O24" s="26"/>
      <c r="P24" s="19">
        <f>+P16-P18+P22</f>
        <v>-178.69</v>
      </c>
      <c r="Q24" s="13"/>
      <c r="R24" s="21">
        <f>IF(P$12=0,0,P24/P$12)</f>
        <v>0</v>
      </c>
      <c r="S24" s="13"/>
      <c r="T24" s="19">
        <f>+T16-T18+T22</f>
        <v>0</v>
      </c>
      <c r="U24" s="13"/>
      <c r="V24" s="21">
        <f>IF(T$12=0,0,T24/T$12)</f>
        <v>0</v>
      </c>
      <c r="W24" s="15"/>
      <c r="X24" s="19">
        <f>+P24-T24</f>
        <v>-178.69</v>
      </c>
      <c r="Y24" s="15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4">
        <f>+D24-D26</f>
        <v>0</v>
      </c>
      <c r="E28" s="13"/>
      <c r="F28" s="30">
        <f>IF(D$12=0,0,D28/D$12)</f>
        <v>0</v>
      </c>
      <c r="G28" s="13"/>
      <c r="H28" s="34">
        <f>+H24-H26</f>
        <v>0</v>
      </c>
      <c r="I28" s="13"/>
      <c r="J28" s="30">
        <f>IF(H$12=0,0,H28/H$12)</f>
        <v>0</v>
      </c>
      <c r="K28" s="15"/>
      <c r="L28" s="34">
        <f>D28-H28</f>
        <v>0</v>
      </c>
      <c r="M28" s="15"/>
      <c r="N28" s="30">
        <f>IF(H28=0,0,L28/H28)</f>
        <v>0</v>
      </c>
      <c r="O28" s="26"/>
      <c r="P28" s="34">
        <f>+P24-P26</f>
        <v>-178.69</v>
      </c>
      <c r="Q28" s="13"/>
      <c r="R28" s="30">
        <f>IF(P$12=0,0,P28/P$12)</f>
        <v>0</v>
      </c>
      <c r="S28" s="13"/>
      <c r="T28" s="34">
        <f>+T24-T26</f>
        <v>0</v>
      </c>
      <c r="U28" s="13"/>
      <c r="V28" s="30">
        <f>IF(T$12=0,0,T28/T$12)</f>
        <v>0</v>
      </c>
      <c r="W28" s="15"/>
      <c r="X28" s="34">
        <f>P28-T28</f>
        <v>-178.69</v>
      </c>
      <c r="Y28" s="15"/>
      <c r="Z28" s="30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5">
        <f>SUM(D28:D30)</f>
        <v>0</v>
      </c>
      <c r="E31" s="13"/>
      <c r="F31" s="31">
        <f>IF(D$12=0,0,D31/D$12)</f>
        <v>0</v>
      </c>
      <c r="G31" s="13"/>
      <c r="H31" s="35">
        <f>SUM(H28:H30)</f>
        <v>0</v>
      </c>
      <c r="I31" s="13"/>
      <c r="J31" s="31">
        <f>IF(H$12=0,0,H31/H$12)</f>
        <v>0</v>
      </c>
      <c r="K31" s="15"/>
      <c r="L31" s="35">
        <f>+D31-H31</f>
        <v>0</v>
      </c>
      <c r="M31" s="15"/>
      <c r="N31" s="31">
        <f>IF(H31=0,0,L31/H31)</f>
        <v>0</v>
      </c>
      <c r="O31" s="26"/>
      <c r="P31" s="35">
        <f>SUM(P28:P30)</f>
        <v>-178.69</v>
      </c>
      <c r="Q31" s="13"/>
      <c r="R31" s="31">
        <f>IF(P$12=0,0,P31/P$12)</f>
        <v>0</v>
      </c>
      <c r="S31" s="13"/>
      <c r="T31" s="35">
        <f>SUM(T28:T30)</f>
        <v>0</v>
      </c>
      <c r="U31" s="13"/>
      <c r="V31" s="31">
        <f>IF(T$12=0,0,T31/T$12)</f>
        <v>0</v>
      </c>
      <c r="W31" s="15"/>
      <c r="X31" s="35">
        <f>+P31-T31</f>
        <v>-178.69</v>
      </c>
      <c r="Y31" s="15"/>
      <c r="Z31" s="31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3">
        <v>44267.672264236113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84642.36</v>
      </c>
      <c r="E12" s="4"/>
      <c r="F12" s="12"/>
      <c r="G12" s="4"/>
      <c r="H12" s="4">
        <f>SUM(OSRRefH13x_0)</f>
        <v>233879</v>
      </c>
      <c r="I12" s="4"/>
      <c r="J12" s="12"/>
      <c r="K12" s="4"/>
      <c r="L12" s="4">
        <f t="shared" ref="L12:L16" si="0">+D12-H12</f>
        <v>-149236.64000000001</v>
      </c>
      <c r="M12" s="4"/>
      <c r="N12" s="12">
        <f t="shared" ref="N12:N16" si="1">IF(H12=0,0,L12/H12)</f>
        <v>-0.63809337306898017</v>
      </c>
      <c r="O12" s="10"/>
      <c r="P12" s="4">
        <f>SUM(OSRRefP13x_0)</f>
        <v>735751.45000000007</v>
      </c>
      <c r="Q12" s="4"/>
      <c r="R12" s="12"/>
      <c r="S12" s="4"/>
      <c r="T12" s="4">
        <f>SUM(OSRRefT13x_0)</f>
        <v>1137648</v>
      </c>
      <c r="U12" s="4"/>
      <c r="V12" s="12"/>
      <c r="W12" s="4"/>
      <c r="X12" s="4">
        <f t="shared" ref="X12:X16" si="2">+P12-T12</f>
        <v>-401896.54999999993</v>
      </c>
      <c r="Y12" s="4"/>
      <c r="Z12" s="12">
        <f t="shared" ref="Z12:Z16" si="3">IF(T12=0,0,X12/T12)</f>
        <v>-0.3532696844718225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--180.69</f>
        <v>180.69</v>
      </c>
      <c r="E13" s="2"/>
      <c r="F13" s="22"/>
      <c r="G13" s="2"/>
      <c r="H13" s="2"/>
      <c r="I13" s="2"/>
      <c r="J13" s="22"/>
      <c r="K13" s="2"/>
      <c r="L13" s="2">
        <f t="shared" si="0"/>
        <v>180.69</v>
      </c>
      <c r="M13" s="2"/>
      <c r="N13" s="22">
        <f t="shared" si="1"/>
        <v>0</v>
      </c>
      <c r="O13" s="11"/>
      <c r="P13" s="2">
        <f>--542.56</f>
        <v>542.55999999999995</v>
      </c>
      <c r="Q13" s="2"/>
      <c r="R13" s="22"/>
      <c r="S13" s="2"/>
      <c r="T13" s="2"/>
      <c r="U13" s="2"/>
      <c r="V13" s="22"/>
      <c r="W13" s="2"/>
      <c r="X13" s="2">
        <f t="shared" si="2"/>
        <v>542.55999999999995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233879</v>
      </c>
      <c r="I14" s="2"/>
      <c r="J14" s="22"/>
      <c r="K14" s="2"/>
      <c r="L14" s="2">
        <f t="shared" si="0"/>
        <v>-233879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1137648</v>
      </c>
      <c r="U14" s="2"/>
      <c r="V14" s="22"/>
      <c r="W14" s="2"/>
      <c r="X14" s="2">
        <f t="shared" si="2"/>
        <v>-1137648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--78596.26</f>
        <v>78596.259999999995</v>
      </c>
      <c r="E15" s="2"/>
      <c r="F15" s="22"/>
      <c r="G15" s="2"/>
      <c r="H15" s="2"/>
      <c r="I15" s="2"/>
      <c r="J15" s="22"/>
      <c r="K15" s="2"/>
      <c r="L15" s="2">
        <f t="shared" si="0"/>
        <v>78596.259999999995</v>
      </c>
      <c r="M15" s="2"/>
      <c r="N15" s="22">
        <f t="shared" si="1"/>
        <v>0</v>
      </c>
      <c r="O15" s="11"/>
      <c r="P15" s="2">
        <f>--704702.59</f>
        <v>704702.59</v>
      </c>
      <c r="Q15" s="2"/>
      <c r="R15" s="22"/>
      <c r="S15" s="2"/>
      <c r="T15" s="2"/>
      <c r="U15" s="2"/>
      <c r="V15" s="22"/>
      <c r="W15" s="2"/>
      <c r="X15" s="2">
        <f t="shared" si="2"/>
        <v>704702.59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--5865.41</f>
        <v>5865.41</v>
      </c>
      <c r="E16" s="2"/>
      <c r="F16" s="22"/>
      <c r="G16" s="2"/>
      <c r="H16" s="2"/>
      <c r="I16" s="2"/>
      <c r="J16" s="22"/>
      <c r="K16" s="2"/>
      <c r="L16" s="2">
        <f t="shared" si="0"/>
        <v>5865.41</v>
      </c>
      <c r="M16" s="2"/>
      <c r="N16" s="22">
        <f t="shared" si="1"/>
        <v>0</v>
      </c>
      <c r="O16" s="11"/>
      <c r="P16" s="2">
        <f>--30506.3</f>
        <v>30506.3</v>
      </c>
      <c r="Q16" s="2"/>
      <c r="R16" s="22"/>
      <c r="S16" s="2"/>
      <c r="T16" s="2"/>
      <c r="U16" s="2"/>
      <c r="V16" s="22"/>
      <c r="W16" s="2"/>
      <c r="X16" s="2">
        <f t="shared" si="2"/>
        <v>30506.3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42241.950000000004</v>
      </c>
      <c r="E18" s="4"/>
      <c r="F18" s="12">
        <f t="shared" ref="F18:F21" si="4">IF(D$12=0,0,D18/D$12)</f>
        <v>0.49906394386923997</v>
      </c>
      <c r="G18" s="4"/>
      <c r="H18" s="4">
        <f>SUM(OSRRefH16x_0)</f>
        <v>58470</v>
      </c>
      <c r="I18" s="4"/>
      <c r="J18" s="12">
        <f t="shared" ref="J18:J21" si="5">IF(H$12=0,0,H18/H$12)</f>
        <v>0.25000106892880508</v>
      </c>
      <c r="K18" s="4"/>
      <c r="L18" s="4">
        <f t="shared" ref="L18:L21" si="6">+D18-H18</f>
        <v>-16228.049999999996</v>
      </c>
      <c r="M18" s="4"/>
      <c r="N18" s="12">
        <f t="shared" ref="N18:N21" si="7">IF(H18=0,0,L18/H18)</f>
        <v>-0.27754489481785521</v>
      </c>
      <c r="O18" s="10"/>
      <c r="P18" s="4">
        <f>SUM(OSRRefP16x_0)</f>
        <v>299766.41000000003</v>
      </c>
      <c r="Q18" s="4"/>
      <c r="R18" s="12">
        <f t="shared" ref="R18:R21" si="8">IF(P$12=0,0,P18/P$12)</f>
        <v>0.40742890822709216</v>
      </c>
      <c r="S18" s="4"/>
      <c r="T18" s="4">
        <f>SUM(OSRRefT16x_0)</f>
        <v>302444</v>
      </c>
      <c r="U18" s="4"/>
      <c r="V18" s="12">
        <f t="shared" ref="V18:V21" si="9">IF(T$12=0,0,T18/T$12)</f>
        <v>0.26585024541861807</v>
      </c>
      <c r="W18" s="4"/>
      <c r="X18" s="4">
        <f t="shared" ref="X18:X21" si="10">+P18-T18</f>
        <v>-2677.5899999999674</v>
      </c>
      <c r="Y18" s="4"/>
      <c r="Z18" s="12">
        <f t="shared" ref="Z18:Z21" si="11">IF(T18=0,0,X18/T18)</f>
        <v>-8.8531761251668655E-3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58470</v>
      </c>
      <c r="I19" s="2"/>
      <c r="J19" s="22">
        <f t="shared" si="5"/>
        <v>0.25000106892880508</v>
      </c>
      <c r="K19" s="2"/>
      <c r="L19" s="2">
        <f t="shared" si="6"/>
        <v>-58470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302444</v>
      </c>
      <c r="U19" s="2"/>
      <c r="V19" s="22">
        <f t="shared" si="9"/>
        <v>0.26585024541861807</v>
      </c>
      <c r="W19" s="2"/>
      <c r="X19" s="2">
        <f t="shared" si="10"/>
        <v>-302444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49319.950000000004</v>
      </c>
      <c r="E20" s="2"/>
      <c r="F20" s="22">
        <f t="shared" si="4"/>
        <v>0.58268637594698447</v>
      </c>
      <c r="G20" s="2"/>
      <c r="H20" s="2"/>
      <c r="I20" s="2"/>
      <c r="J20" s="22">
        <f t="shared" si="5"/>
        <v>0</v>
      </c>
      <c r="K20" s="2"/>
      <c r="L20" s="2">
        <f t="shared" si="6"/>
        <v>49319.950000000004</v>
      </c>
      <c r="M20" s="2"/>
      <c r="N20" s="22">
        <f t="shared" si="7"/>
        <v>0</v>
      </c>
      <c r="O20" s="11"/>
      <c r="P20" s="2">
        <v>320588.11000000004</v>
      </c>
      <c r="Q20" s="2"/>
      <c r="R20" s="22">
        <f t="shared" si="8"/>
        <v>0.4357288184753153</v>
      </c>
      <c r="S20" s="2"/>
      <c r="T20" s="2"/>
      <c r="U20" s="2"/>
      <c r="V20" s="22">
        <f t="shared" si="9"/>
        <v>0</v>
      </c>
      <c r="W20" s="2"/>
      <c r="X20" s="2">
        <f t="shared" si="10"/>
        <v>320588.11000000004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-7078</v>
      </c>
      <c r="E21" s="2"/>
      <c r="F21" s="22">
        <f t="shared" si="4"/>
        <v>-8.362243207774453E-2</v>
      </c>
      <c r="G21" s="2"/>
      <c r="H21" s="2"/>
      <c r="I21" s="2"/>
      <c r="J21" s="22">
        <f t="shared" si="5"/>
        <v>0</v>
      </c>
      <c r="K21" s="2"/>
      <c r="L21" s="2">
        <f t="shared" si="6"/>
        <v>-7078</v>
      </c>
      <c r="M21" s="2"/>
      <c r="N21" s="22">
        <f t="shared" si="7"/>
        <v>0</v>
      </c>
      <c r="O21" s="11"/>
      <c r="P21" s="2">
        <v>-20821.7</v>
      </c>
      <c r="Q21" s="2"/>
      <c r="R21" s="22">
        <f t="shared" si="8"/>
        <v>-2.8299910248223089E-2</v>
      </c>
      <c r="S21" s="2"/>
      <c r="T21" s="2"/>
      <c r="U21" s="2"/>
      <c r="V21" s="22">
        <f t="shared" si="9"/>
        <v>0</v>
      </c>
      <c r="W21" s="2"/>
      <c r="X21" s="2">
        <f t="shared" si="10"/>
        <v>-20821.7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19">
        <f>D12-D18</f>
        <v>42400.409999999996</v>
      </c>
      <c r="E23" s="13"/>
      <c r="F23" s="21">
        <f>IF(D$12=0,0,D23/D$12)</f>
        <v>0.50093605613075998</v>
      </c>
      <c r="G23" s="13"/>
      <c r="H23" s="19">
        <f>H12-H18</f>
        <v>175409</v>
      </c>
      <c r="I23" s="13"/>
      <c r="J23" s="21">
        <f>IF(H$12=0,0,H23/H$12)</f>
        <v>0.74999893107119497</v>
      </c>
      <c r="K23" s="15"/>
      <c r="L23" s="19">
        <f>+D23-H23</f>
        <v>-133008.59</v>
      </c>
      <c r="M23" s="15"/>
      <c r="N23" s="21">
        <f>IF(H23=0,0,L23/H23)</f>
        <v>-0.75827688431038309</v>
      </c>
      <c r="O23" s="26"/>
      <c r="P23" s="19">
        <f>P12-P18</f>
        <v>435985.04000000004</v>
      </c>
      <c r="Q23" s="13"/>
      <c r="R23" s="21">
        <f>IF(P$12=0,0,P23/P$12)</f>
        <v>0.59257109177290779</v>
      </c>
      <c r="S23" s="13"/>
      <c r="T23" s="19">
        <f>T12-T18</f>
        <v>835204</v>
      </c>
      <c r="U23" s="13"/>
      <c r="V23" s="21">
        <f>IF(T$12=0,0,T23/T$12)</f>
        <v>0.73414975458138199</v>
      </c>
      <c r="W23" s="15"/>
      <c r="X23" s="19">
        <f>+P23-T23</f>
        <v>-399218.95999999996</v>
      </c>
      <c r="Y23" s="15"/>
      <c r="Z23" s="21">
        <f>IF(T23=0,0,X23/T23)</f>
        <v>-0.47798976058543774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110408.29000000002</v>
      </c>
      <c r="E25" s="20"/>
      <c r="F25" s="33">
        <f t="shared" ref="F25:F36" si="12">IF(D$12=0,0,D25/D$12)</f>
        <v>1.3044093997379094</v>
      </c>
      <c r="G25" s="20"/>
      <c r="H25" s="20">
        <f>SUM(OSRRefH22x_0)</f>
        <v>131308.5490277693</v>
      </c>
      <c r="I25" s="20"/>
      <c r="J25" s="33">
        <f t="shared" ref="J25:J36" si="13">IF(H$12=0,0,H25/H$12)</f>
        <v>0.56143796162874526</v>
      </c>
      <c r="K25" s="4"/>
      <c r="L25" s="20">
        <f t="shared" ref="L25:L36" si="14">+D25-H25</f>
        <v>-20900.25902776928</v>
      </c>
      <c r="M25" s="4"/>
      <c r="N25" s="33">
        <f t="shared" ref="N25:N36" si="15">IF(H25=0,0,L25/H25)</f>
        <v>-0.15916906539991746</v>
      </c>
      <c r="O25" s="10"/>
      <c r="P25" s="20">
        <f>SUM(OSRRefP22x_0)</f>
        <v>919331.35000000033</v>
      </c>
      <c r="Q25" s="20"/>
      <c r="R25" s="33">
        <f t="shared" ref="R25:R36" si="16">IF(P$12=0,0,P25/P$12)</f>
        <v>1.2495134736057947</v>
      </c>
      <c r="S25" s="20"/>
      <c r="T25" s="20">
        <f>SUM(OSRRefT22x_0)</f>
        <v>1009261.612363981</v>
      </c>
      <c r="U25" s="20"/>
      <c r="V25" s="33">
        <f t="shared" ref="V25:V36" si="17">IF(T$12=0,0,T25/T$12)</f>
        <v>0.88714752925683604</v>
      </c>
      <c r="W25" s="4"/>
      <c r="X25" s="20">
        <f t="shared" ref="X25:X36" si="18">+P25-T25</f>
        <v>-89930.262363980641</v>
      </c>
      <c r="Y25" s="4"/>
      <c r="Z25" s="33">
        <f t="shared" ref="Z25:Z36" si="19">IF(T25=0,0,X25/T25)</f>
        <v>-8.9105006335610151E-2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30715.700000000004</v>
      </c>
      <c r="E26" s="1"/>
      <c r="F26" s="5">
        <f t="shared" si="12"/>
        <v>0.36288803856603247</v>
      </c>
      <c r="G26" s="1"/>
      <c r="H26" s="1">
        <f>SUM(OSRRefH22_0x_0)</f>
        <v>35348.699746230792</v>
      </c>
      <c r="I26" s="1"/>
      <c r="J26" s="5">
        <f t="shared" si="13"/>
        <v>0.15114097352148245</v>
      </c>
      <c r="K26" s="1"/>
      <c r="L26" s="1">
        <f t="shared" si="14"/>
        <v>-4632.9997462307874</v>
      </c>
      <c r="M26" s="1"/>
      <c r="N26" s="5">
        <f t="shared" si="15"/>
        <v>-0.13106563408247573</v>
      </c>
      <c r="O26" s="14"/>
      <c r="P26" s="1">
        <f>SUM(OSRRefP22_0x_0)</f>
        <v>245957.43000000002</v>
      </c>
      <c r="Q26" s="1"/>
      <c r="R26" s="5">
        <f t="shared" si="16"/>
        <v>0.33429418317830023</v>
      </c>
      <c r="S26" s="1"/>
      <c r="T26" s="1">
        <f>SUM(OSRRefT22_0x_0)</f>
        <v>299405.12181051925</v>
      </c>
      <c r="U26" s="1"/>
      <c r="V26" s="5">
        <f t="shared" si="17"/>
        <v>0.26317905170186146</v>
      </c>
      <c r="W26" s="1"/>
      <c r="X26" s="1">
        <f t="shared" si="18"/>
        <v>-53447.691810519231</v>
      </c>
      <c r="Y26" s="1"/>
      <c r="Z26" s="5">
        <f t="shared" si="19"/>
        <v>-0.17851295090517522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3316.77</v>
      </c>
      <c r="E27" s="2"/>
      <c r="F27" s="6">
        <f t="shared" si="12"/>
        <v>3.9185698508406426E-2</v>
      </c>
      <c r="G27" s="2"/>
      <c r="H27" s="7">
        <v>3171.7882047692301</v>
      </c>
      <c r="I27" s="2"/>
      <c r="J27" s="6">
        <f t="shared" si="13"/>
        <v>1.3561663102583943E-2</v>
      </c>
      <c r="K27" s="2"/>
      <c r="L27" s="7">
        <f t="shared" si="14"/>
        <v>144.98179523076988</v>
      </c>
      <c r="M27" s="2"/>
      <c r="N27" s="6">
        <f t="shared" si="15"/>
        <v>4.5709797083162529E-2</v>
      </c>
      <c r="O27" s="11"/>
      <c r="P27" s="7">
        <v>28121.53</v>
      </c>
      <c r="Q27" s="2"/>
      <c r="R27" s="6">
        <f t="shared" si="16"/>
        <v>3.8221508092168892E-2</v>
      </c>
      <c r="S27" s="2"/>
      <c r="T27" s="7">
        <v>28483.166461730769</v>
      </c>
      <c r="U27" s="2"/>
      <c r="V27" s="6">
        <f t="shared" si="17"/>
        <v>2.5036888793133524E-2</v>
      </c>
      <c r="W27" s="2"/>
      <c r="X27" s="7">
        <f t="shared" si="18"/>
        <v>-361.63646173076995</v>
      </c>
      <c r="Y27" s="2"/>
      <c r="Z27" s="6">
        <f t="shared" si="19"/>
        <v>-1.2696497849586182E-2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2419.13</v>
      </c>
      <c r="E28" s="2"/>
      <c r="F28" s="6">
        <f t="shared" si="12"/>
        <v>2.8580606684407196E-2</v>
      </c>
      <c r="G28" s="2"/>
      <c r="H28" s="7">
        <v>2722.3197473999999</v>
      </c>
      <c r="I28" s="2"/>
      <c r="J28" s="6">
        <f t="shared" si="13"/>
        <v>1.1639863978381983E-2</v>
      </c>
      <c r="K28" s="2"/>
      <c r="L28" s="7">
        <f t="shared" si="14"/>
        <v>-303.18974739999976</v>
      </c>
      <c r="M28" s="2"/>
      <c r="N28" s="6">
        <f t="shared" si="15"/>
        <v>-0.11137183561540358</v>
      </c>
      <c r="O28" s="11"/>
      <c r="P28" s="7">
        <v>19685.22</v>
      </c>
      <c r="Q28" s="2"/>
      <c r="R28" s="6">
        <f t="shared" si="16"/>
        <v>2.6755258178560164E-2</v>
      </c>
      <c r="S28" s="2"/>
      <c r="T28" s="7">
        <v>21724.436393550001</v>
      </c>
      <c r="U28" s="2"/>
      <c r="V28" s="6">
        <f t="shared" si="17"/>
        <v>1.9095921052513606E-2</v>
      </c>
      <c r="W28" s="2"/>
      <c r="X28" s="7">
        <f t="shared" si="18"/>
        <v>-2039.2163935499993</v>
      </c>
      <c r="Y28" s="2"/>
      <c r="Z28" s="6">
        <f t="shared" si="19"/>
        <v>-9.3867401510837084E-2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17691.580000000002</v>
      </c>
      <c r="E29" s="2"/>
      <c r="F29" s="6">
        <f t="shared" si="12"/>
        <v>0.20901567489375297</v>
      </c>
      <c r="G29" s="2"/>
      <c r="H29" s="7">
        <v>19569.615384615401</v>
      </c>
      <c r="I29" s="2"/>
      <c r="J29" s="6">
        <f t="shared" si="13"/>
        <v>8.3674102354702226E-2</v>
      </c>
      <c r="K29" s="2"/>
      <c r="L29" s="7">
        <f t="shared" si="14"/>
        <v>-1878.0353846153994</v>
      </c>
      <c r="M29" s="2"/>
      <c r="N29" s="6">
        <f t="shared" si="15"/>
        <v>-9.5966903166212023E-2</v>
      </c>
      <c r="O29" s="11"/>
      <c r="P29" s="7">
        <v>138386.96</v>
      </c>
      <c r="Q29" s="2"/>
      <c r="R29" s="6">
        <f t="shared" si="16"/>
        <v>0.18808927933475358</v>
      </c>
      <c r="S29" s="2"/>
      <c r="T29" s="7">
        <v>165740.38461538462</v>
      </c>
      <c r="U29" s="2"/>
      <c r="V29" s="6">
        <f t="shared" si="17"/>
        <v>0.1456868773253103</v>
      </c>
      <c r="W29" s="2"/>
      <c r="X29" s="7">
        <f t="shared" si="18"/>
        <v>-27353.424615384632</v>
      </c>
      <c r="Y29" s="2"/>
      <c r="Z29" s="6">
        <f t="shared" si="19"/>
        <v>-0.16503777687532642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149.69999999999999</v>
      </c>
      <c r="E30" s="2"/>
      <c r="F30" s="6">
        <f t="shared" si="12"/>
        <v>1.7686179827689113E-3</v>
      </c>
      <c r="G30" s="2"/>
      <c r="H30" s="7">
        <v>164.98907560000001</v>
      </c>
      <c r="I30" s="2"/>
      <c r="J30" s="6">
        <f t="shared" si="13"/>
        <v>7.0544630172012022E-4</v>
      </c>
      <c r="K30" s="2"/>
      <c r="L30" s="7">
        <f t="shared" si="14"/>
        <v>-15.289075600000018</v>
      </c>
      <c r="M30" s="2"/>
      <c r="N30" s="6">
        <f t="shared" si="15"/>
        <v>-9.2667199597304836E-2</v>
      </c>
      <c r="O30" s="11"/>
      <c r="P30" s="7">
        <v>1268.25</v>
      </c>
      <c r="Q30" s="2"/>
      <c r="R30" s="6">
        <f t="shared" si="16"/>
        <v>1.7237478770853933E-3</v>
      </c>
      <c r="S30" s="2"/>
      <c r="T30" s="7">
        <v>1316.6325087</v>
      </c>
      <c r="U30" s="2"/>
      <c r="V30" s="6">
        <f t="shared" si="17"/>
        <v>1.1573285486371884E-3</v>
      </c>
      <c r="W30" s="2"/>
      <c r="X30" s="7">
        <f t="shared" si="18"/>
        <v>-48.382508700000017</v>
      </c>
      <c r="Y30" s="2"/>
      <c r="Z30" s="6">
        <f t="shared" si="19"/>
        <v>-3.6747162462038345E-2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1457.5</v>
      </c>
      <c r="E31" s="2"/>
      <c r="F31" s="6">
        <f t="shared" si="12"/>
        <v>1.721951042007808E-2</v>
      </c>
      <c r="G31" s="2"/>
      <c r="H31" s="7">
        <v>1778.4998461538501</v>
      </c>
      <c r="I31" s="2"/>
      <c r="J31" s="6">
        <f t="shared" si="13"/>
        <v>7.604358861436256E-3</v>
      </c>
      <c r="K31" s="2"/>
      <c r="L31" s="7">
        <f t="shared" si="14"/>
        <v>-320.99984615385006</v>
      </c>
      <c r="M31" s="2"/>
      <c r="N31" s="6">
        <f t="shared" si="15"/>
        <v>-0.18048910538172844</v>
      </c>
      <c r="O31" s="11"/>
      <c r="P31" s="7">
        <v>13184.06</v>
      </c>
      <c r="Q31" s="2"/>
      <c r="R31" s="6">
        <f t="shared" si="16"/>
        <v>1.791917637403229E-2</v>
      </c>
      <c r="S31" s="2"/>
      <c r="T31" s="7">
        <v>15561.87365384618</v>
      </c>
      <c r="U31" s="2"/>
      <c r="V31" s="6">
        <f t="shared" si="17"/>
        <v>1.3678988275675938E-2</v>
      </c>
      <c r="W31" s="2"/>
      <c r="X31" s="7">
        <f t="shared" si="18"/>
        <v>-2377.8136538461804</v>
      </c>
      <c r="Y31" s="2"/>
      <c r="Z31" s="6">
        <f t="shared" si="19"/>
        <v>-0.15279738845961482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490.44</v>
      </c>
      <c r="E33" s="2"/>
      <c r="F33" s="6">
        <f t="shared" si="12"/>
        <v>5.7942618802216761E-3</v>
      </c>
      <c r="G33" s="2"/>
      <c r="H33" s="7"/>
      <c r="I33" s="2"/>
      <c r="J33" s="6">
        <f t="shared" si="13"/>
        <v>0</v>
      </c>
      <c r="K33" s="2"/>
      <c r="L33" s="7">
        <f t="shared" si="14"/>
        <v>490.44</v>
      </c>
      <c r="M33" s="2"/>
      <c r="N33" s="6">
        <f t="shared" si="15"/>
        <v>0</v>
      </c>
      <c r="O33" s="11"/>
      <c r="P33" s="7">
        <v>4217.5</v>
      </c>
      <c r="Q33" s="2"/>
      <c r="R33" s="6">
        <f t="shared" si="16"/>
        <v>5.7322347105126324E-3</v>
      </c>
      <c r="S33" s="2"/>
      <c r="T33" s="7"/>
      <c r="U33" s="2"/>
      <c r="V33" s="6">
        <f t="shared" si="17"/>
        <v>0</v>
      </c>
      <c r="W33" s="2"/>
      <c r="X33" s="7">
        <f t="shared" si="18"/>
        <v>4217.5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2606.96</v>
      </c>
      <c r="E34" s="2"/>
      <c r="F34" s="6">
        <f t="shared" si="12"/>
        <v>3.0799708325713035E-2</v>
      </c>
      <c r="G34" s="2"/>
      <c r="H34" s="7">
        <v>3283.8667692307704</v>
      </c>
      <c r="I34" s="2"/>
      <c r="J34" s="6">
        <f t="shared" si="13"/>
        <v>1.4040879126517431E-2</v>
      </c>
      <c r="K34" s="2"/>
      <c r="L34" s="7">
        <f t="shared" si="14"/>
        <v>-676.90676923077035</v>
      </c>
      <c r="M34" s="2"/>
      <c r="N34" s="6">
        <f t="shared" si="15"/>
        <v>-0.20613100859427755</v>
      </c>
      <c r="O34" s="11"/>
      <c r="P34" s="7">
        <v>21246.86</v>
      </c>
      <c r="Q34" s="2"/>
      <c r="R34" s="6">
        <f t="shared" si="16"/>
        <v>2.8877768436609944E-2</v>
      </c>
      <c r="S34" s="2"/>
      <c r="T34" s="7">
        <v>28733.834230769233</v>
      </c>
      <c r="U34" s="2"/>
      <c r="V34" s="6">
        <f t="shared" si="17"/>
        <v>2.5257227394386694E-2</v>
      </c>
      <c r="W34" s="2"/>
      <c r="X34" s="7">
        <f t="shared" si="18"/>
        <v>-7486.9742307692322</v>
      </c>
      <c r="Y34" s="2"/>
      <c r="Z34" s="6">
        <f t="shared" si="19"/>
        <v>-0.26056300633738289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1633.22</v>
      </c>
      <c r="E35" s="2"/>
      <c r="F35" s="6">
        <f t="shared" si="12"/>
        <v>1.9295539491101146E-2</v>
      </c>
      <c r="G35" s="2"/>
      <c r="H35" s="7">
        <v>2732.62071846154</v>
      </c>
      <c r="I35" s="2"/>
      <c r="J35" s="6">
        <f t="shared" si="13"/>
        <v>1.1683907997133303E-2</v>
      </c>
      <c r="K35" s="2"/>
      <c r="L35" s="7">
        <f t="shared" si="14"/>
        <v>-1099.40071846154</v>
      </c>
      <c r="M35" s="2"/>
      <c r="N35" s="6">
        <f t="shared" si="15"/>
        <v>-0.40232466622023577</v>
      </c>
      <c r="O35" s="11"/>
      <c r="P35" s="7">
        <v>13332.2</v>
      </c>
      <c r="Q35" s="2"/>
      <c r="R35" s="6">
        <f t="shared" si="16"/>
        <v>1.812052154297487E-2</v>
      </c>
      <c r="S35" s="2"/>
      <c r="T35" s="7">
        <v>22444.793946538459</v>
      </c>
      <c r="U35" s="2"/>
      <c r="V35" s="6">
        <f t="shared" si="17"/>
        <v>1.9729120032328504E-2</v>
      </c>
      <c r="W35" s="2"/>
      <c r="X35" s="7">
        <f t="shared" si="18"/>
        <v>-9112.5939465384581</v>
      </c>
      <c r="Y35" s="2"/>
      <c r="Z35" s="6">
        <f t="shared" si="19"/>
        <v>-0.40600033879766784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950.4</v>
      </c>
      <c r="E36" s="2"/>
      <c r="F36" s="6">
        <f t="shared" si="12"/>
        <v>1.1228420379582989E-2</v>
      </c>
      <c r="G36" s="2"/>
      <c r="H36" s="7">
        <v>1925</v>
      </c>
      <c r="I36" s="2"/>
      <c r="J36" s="6">
        <f t="shared" si="13"/>
        <v>8.2307517990071796E-3</v>
      </c>
      <c r="K36" s="2"/>
      <c r="L36" s="7">
        <f t="shared" si="14"/>
        <v>-974.6</v>
      </c>
      <c r="M36" s="2"/>
      <c r="N36" s="6">
        <f t="shared" si="15"/>
        <v>-0.50628571428571434</v>
      </c>
      <c r="O36" s="11"/>
      <c r="P36" s="7">
        <v>6514.85</v>
      </c>
      <c r="Q36" s="2"/>
      <c r="R36" s="6">
        <f t="shared" si="16"/>
        <v>8.8546886316024243E-3</v>
      </c>
      <c r="S36" s="2"/>
      <c r="T36" s="7">
        <v>15400</v>
      </c>
      <c r="U36" s="2"/>
      <c r="V36" s="6">
        <f t="shared" si="17"/>
        <v>1.3536700279875673E-2</v>
      </c>
      <c r="W36" s="2"/>
      <c r="X36" s="7">
        <f t="shared" si="18"/>
        <v>-8885.15</v>
      </c>
      <c r="Y36" s="2"/>
      <c r="Z36" s="6">
        <f t="shared" si="19"/>
        <v>-0.5769577922077922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49455.91</v>
      </c>
      <c r="E37" s="1"/>
      <c r="F37" s="5">
        <f t="shared" ref="F37:F47" si="20">IF(D$12=0,0,D37/D$12)</f>
        <v>0.58429266386239709</v>
      </c>
      <c r="G37" s="1"/>
      <c r="H37" s="1">
        <f>SUM(OSRRefH22_1x_0)</f>
        <v>57440.849281538496</v>
      </c>
      <c r="I37" s="1"/>
      <c r="J37" s="5">
        <f t="shared" ref="J37:J47" si="21">IF(H$12=0,0,H37/H$12)</f>
        <v>0.24560071353793414</v>
      </c>
      <c r="K37" s="1"/>
      <c r="L37" s="1">
        <f t="shared" ref="L37:L47" si="22">+D37-H37</f>
        <v>-7984.9392815384927</v>
      </c>
      <c r="M37" s="1"/>
      <c r="N37" s="5">
        <f t="shared" ref="N37:N47" si="23">IF(H37=0,0,L37/H37)</f>
        <v>-0.13901151151859542</v>
      </c>
      <c r="O37" s="14"/>
      <c r="P37" s="1">
        <f>SUM(OSRRefP22_1x_0)</f>
        <v>429400.78</v>
      </c>
      <c r="Q37" s="1"/>
      <c r="R37" s="5">
        <f t="shared" ref="R37:R47" si="24">IF(P$12=0,0,P37/P$12)</f>
        <v>0.58362206421747453</v>
      </c>
      <c r="S37" s="1"/>
      <c r="T37" s="1">
        <f>SUM(OSRRefT22_1x_0)</f>
        <v>455218.49055346183</v>
      </c>
      <c r="U37" s="1"/>
      <c r="V37" s="5">
        <f t="shared" ref="V37:V47" si="25">IF(T$12=0,0,T37/T$12)</f>
        <v>0.40014001743374211</v>
      </c>
      <c r="W37" s="1"/>
      <c r="X37" s="1">
        <f t="shared" ref="X37:X47" si="26">+P37-T37</f>
        <v>-25817.710553461802</v>
      </c>
      <c r="Y37" s="1"/>
      <c r="Z37" s="5">
        <f t="shared" ref="Z37:Z47" si="27">IF(T37=0,0,X37/T37)</f>
        <v>-5.6714986515754712E-2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15265.92</v>
      </c>
      <c r="E39" s="2"/>
      <c r="F39" s="6">
        <f t="shared" si="20"/>
        <v>0.18035792007689766</v>
      </c>
      <c r="G39" s="2"/>
      <c r="H39" s="7">
        <v>17815.8884615385</v>
      </c>
      <c r="I39" s="2"/>
      <c r="J39" s="6">
        <f t="shared" si="21"/>
        <v>7.6175665457516487E-2</v>
      </c>
      <c r="K39" s="2"/>
      <c r="L39" s="7">
        <f t="shared" si="22"/>
        <v>-2549.9684615384995</v>
      </c>
      <c r="M39" s="2"/>
      <c r="N39" s="6">
        <f t="shared" si="23"/>
        <v>-0.1431288968295604</v>
      </c>
      <c r="O39" s="11"/>
      <c r="P39" s="7">
        <v>122732.62000000001</v>
      </c>
      <c r="Q39" s="2"/>
      <c r="R39" s="6">
        <f t="shared" si="24"/>
        <v>0.16681261042706746</v>
      </c>
      <c r="S39" s="2"/>
      <c r="T39" s="7">
        <v>155889.02403846179</v>
      </c>
      <c r="U39" s="2"/>
      <c r="V39" s="6">
        <f t="shared" si="25"/>
        <v>0.13702746722928516</v>
      </c>
      <c r="W39" s="2"/>
      <c r="X39" s="7">
        <f t="shared" si="26"/>
        <v>-33156.404038461784</v>
      </c>
      <c r="Y39" s="2"/>
      <c r="Z39" s="6">
        <f t="shared" si="27"/>
        <v>-0.21269235754713081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12619.44</v>
      </c>
      <c r="E41" s="2"/>
      <c r="F41" s="6">
        <f t="shared" si="20"/>
        <v>0.14909130605526594</v>
      </c>
      <c r="G41" s="2"/>
      <c r="H41" s="7">
        <v>18273.024000000001</v>
      </c>
      <c r="I41" s="2"/>
      <c r="J41" s="6">
        <f t="shared" si="21"/>
        <v>7.8130246837039674E-2</v>
      </c>
      <c r="K41" s="2"/>
      <c r="L41" s="7">
        <f t="shared" si="22"/>
        <v>-5653.5840000000007</v>
      </c>
      <c r="M41" s="2"/>
      <c r="N41" s="6">
        <f t="shared" si="23"/>
        <v>-0.30939509519606612</v>
      </c>
      <c r="O41" s="11"/>
      <c r="P41" s="7">
        <v>122556.04</v>
      </c>
      <c r="Q41" s="2"/>
      <c r="R41" s="6">
        <f t="shared" si="24"/>
        <v>0.16657261090005324</v>
      </c>
      <c r="S41" s="2"/>
      <c r="T41" s="7">
        <v>159888.95999999999</v>
      </c>
      <c r="U41" s="2"/>
      <c r="V41" s="6">
        <f t="shared" si="25"/>
        <v>0.14054343698578117</v>
      </c>
      <c r="W41" s="2"/>
      <c r="X41" s="7">
        <f t="shared" si="26"/>
        <v>-37332.92</v>
      </c>
      <c r="Y41" s="2"/>
      <c r="Z41" s="6">
        <f t="shared" si="27"/>
        <v>-0.23349279399903533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9662.36</v>
      </c>
      <c r="E42" s="2"/>
      <c r="F42" s="6">
        <f t="shared" si="20"/>
        <v>0.11415513461581175</v>
      </c>
      <c r="G42" s="2"/>
      <c r="H42" s="7">
        <v>6584.2688199999993</v>
      </c>
      <c r="I42" s="2"/>
      <c r="J42" s="6">
        <f t="shared" si="21"/>
        <v>2.8152458407980193E-2</v>
      </c>
      <c r="K42" s="2"/>
      <c r="L42" s="7">
        <f t="shared" si="22"/>
        <v>3078.0911800000013</v>
      </c>
      <c r="M42" s="2"/>
      <c r="N42" s="6">
        <f t="shared" si="23"/>
        <v>0.46749172370516939</v>
      </c>
      <c r="O42" s="11"/>
      <c r="P42" s="7">
        <v>80406.040000000008</v>
      </c>
      <c r="Q42" s="2"/>
      <c r="R42" s="6">
        <f t="shared" si="24"/>
        <v>0.10928424266102364</v>
      </c>
      <c r="S42" s="2"/>
      <c r="T42" s="7">
        <v>42573.299515000006</v>
      </c>
      <c r="U42" s="2"/>
      <c r="V42" s="6">
        <f t="shared" si="25"/>
        <v>3.7422207497398149E-2</v>
      </c>
      <c r="W42" s="2"/>
      <c r="X42" s="7">
        <f t="shared" si="26"/>
        <v>37832.740485000002</v>
      </c>
      <c r="Y42" s="2"/>
      <c r="Z42" s="6">
        <f t="shared" si="27"/>
        <v>0.88864948021400725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>
        <v>609</v>
      </c>
      <c r="E43" s="2"/>
      <c r="F43" s="6">
        <f t="shared" si="20"/>
        <v>7.1949789679777356E-3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609</v>
      </c>
      <c r="M43" s="2"/>
      <c r="N43" s="6">
        <f t="shared" si="23"/>
        <v>0</v>
      </c>
      <c r="O43" s="11"/>
      <c r="P43" s="7">
        <v>609</v>
      </c>
      <c r="Q43" s="2"/>
      <c r="R43" s="6">
        <f t="shared" si="24"/>
        <v>8.2772517811551709E-4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609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11299.19</v>
      </c>
      <c r="E44" s="2"/>
      <c r="F44" s="6">
        <f t="shared" si="20"/>
        <v>0.13349332414644394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11299.19</v>
      </c>
      <c r="M44" s="2"/>
      <c r="N44" s="6">
        <f t="shared" si="23"/>
        <v>0</v>
      </c>
      <c r="O44" s="11"/>
      <c r="P44" s="7">
        <v>92466.200000000012</v>
      </c>
      <c r="Q44" s="2"/>
      <c r="R44" s="6">
        <f t="shared" si="24"/>
        <v>0.12567586513081286</v>
      </c>
      <c r="S44" s="2"/>
      <c r="T44" s="7">
        <v>9252.83</v>
      </c>
      <c r="U44" s="2"/>
      <c r="V44" s="6">
        <f t="shared" si="25"/>
        <v>8.133297821470261E-3</v>
      </c>
      <c r="W44" s="2"/>
      <c r="X44" s="7">
        <f t="shared" si="26"/>
        <v>83213.37000000001</v>
      </c>
      <c r="Y44" s="2"/>
      <c r="Z44" s="6">
        <f t="shared" si="27"/>
        <v>8.9932885398305178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14767.668</v>
      </c>
      <c r="I45" s="2"/>
      <c r="J45" s="6">
        <f t="shared" si="21"/>
        <v>6.3142342835397783E-2</v>
      </c>
      <c r="K45" s="2"/>
      <c r="L45" s="7">
        <f t="shared" si="22"/>
        <v>-14767.668</v>
      </c>
      <c r="M45" s="2"/>
      <c r="N45" s="6">
        <f t="shared" si="23"/>
        <v>-1</v>
      </c>
      <c r="O45" s="11"/>
      <c r="P45" s="7">
        <v>10630.88</v>
      </c>
      <c r="Q45" s="2"/>
      <c r="R45" s="6">
        <f t="shared" si="24"/>
        <v>1.4449009920401785E-2</v>
      </c>
      <c r="S45" s="2"/>
      <c r="T45" s="7">
        <v>87614.377000000008</v>
      </c>
      <c r="U45" s="2"/>
      <c r="V45" s="6">
        <f t="shared" si="25"/>
        <v>7.7013607899807324E-2</v>
      </c>
      <c r="W45" s="2"/>
      <c r="X45" s="7">
        <f t="shared" si="26"/>
        <v>-76983.497000000003</v>
      </c>
      <c r="Y45" s="2"/>
      <c r="Z45" s="6">
        <f t="shared" si="27"/>
        <v>-0.87866283635161835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0" si="28">IF(D$12=0,0,D48/D$12)</f>
        <v>0</v>
      </c>
      <c r="G48" s="1"/>
      <c r="H48" s="1">
        <f>SUM(OSRRefH22_2x_0)</f>
        <v>369</v>
      </c>
      <c r="I48" s="1"/>
      <c r="J48" s="5">
        <f t="shared" ref="J48:J70" si="29">IF(H$12=0,0,H48/H$12)</f>
        <v>1.5777389162772203E-3</v>
      </c>
      <c r="K48" s="1"/>
      <c r="L48" s="1">
        <f t="shared" ref="L48:L70" si="30">+D48-H48</f>
        <v>-369</v>
      </c>
      <c r="M48" s="1"/>
      <c r="N48" s="5">
        <f t="shared" ref="N48:N70" si="31">IF(H48=0,0,L48/H48)</f>
        <v>-1</v>
      </c>
      <c r="O48" s="14"/>
      <c r="P48" s="1">
        <f>SUM(OSRRefP22_2x_0)</f>
        <v>1240.42</v>
      </c>
      <c r="Q48" s="1"/>
      <c r="R48" s="5">
        <f t="shared" ref="R48:R70" si="32">IF(P$12=0,0,P48/P$12)</f>
        <v>1.6859226033465512E-3</v>
      </c>
      <c r="S48" s="1"/>
      <c r="T48" s="1">
        <f>SUM(OSRRefT22_2x_0)</f>
        <v>2952</v>
      </c>
      <c r="U48" s="1"/>
      <c r="V48" s="5">
        <f t="shared" ref="V48:V70" si="33">IF(T$12=0,0,T48/T$12)</f>
        <v>2.594827222480064E-3</v>
      </c>
      <c r="W48" s="1"/>
      <c r="X48" s="1">
        <f t="shared" ref="X48:X70" si="34">+P48-T48</f>
        <v>-1711.58</v>
      </c>
      <c r="Y48" s="1"/>
      <c r="Z48" s="5">
        <f t="shared" ref="Z48:Z70" si="35">IF(T48=0,0,X48/T48)</f>
        <v>-0.57980352303523031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369</v>
      </c>
      <c r="I49" s="2"/>
      <c r="J49" s="6">
        <f t="shared" si="29"/>
        <v>1.5777389162772203E-3</v>
      </c>
      <c r="K49" s="2"/>
      <c r="L49" s="7">
        <f t="shared" si="30"/>
        <v>-369</v>
      </c>
      <c r="M49" s="2"/>
      <c r="N49" s="6">
        <f t="shared" si="31"/>
        <v>-1</v>
      </c>
      <c r="O49" s="11"/>
      <c r="P49" s="7">
        <v>1240.42</v>
      </c>
      <c r="Q49" s="2"/>
      <c r="R49" s="6">
        <f t="shared" si="32"/>
        <v>1.6859226033465512E-3</v>
      </c>
      <c r="S49" s="2"/>
      <c r="T49" s="7">
        <v>2952</v>
      </c>
      <c r="U49" s="2"/>
      <c r="V49" s="6">
        <f t="shared" si="33"/>
        <v>2.594827222480064E-3</v>
      </c>
      <c r="W49" s="2"/>
      <c r="X49" s="7">
        <f t="shared" si="34"/>
        <v>-1711.58</v>
      </c>
      <c r="Y49" s="2"/>
      <c r="Z49" s="6">
        <f t="shared" si="35"/>
        <v>-0.57980352303523031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-16.2</v>
      </c>
      <c r="E50" s="1"/>
      <c r="F50" s="5">
        <f t="shared" si="28"/>
        <v>-1.913935291974373E-4</v>
      </c>
      <c r="G50" s="1"/>
      <c r="H50" s="1">
        <f>SUM(OSRRefH22_3x_0)</f>
        <v>8</v>
      </c>
      <c r="I50" s="1"/>
      <c r="J50" s="5">
        <f t="shared" si="29"/>
        <v>3.4205721762107758E-5</v>
      </c>
      <c r="K50" s="1"/>
      <c r="L50" s="1">
        <f t="shared" si="30"/>
        <v>-24.2</v>
      </c>
      <c r="M50" s="1"/>
      <c r="N50" s="5">
        <f t="shared" si="31"/>
        <v>-3.0249999999999999</v>
      </c>
      <c r="O50" s="14"/>
      <c r="P50" s="1">
        <f>SUM(OSRRefP22_3x_0)</f>
        <v>23.8</v>
      </c>
      <c r="Q50" s="1"/>
      <c r="R50" s="5">
        <f t="shared" si="32"/>
        <v>3.2347880524054691E-5</v>
      </c>
      <c r="S50" s="1"/>
      <c r="T50" s="1">
        <f>SUM(OSRRefT22_3x_0)</f>
        <v>56</v>
      </c>
      <c r="U50" s="1"/>
      <c r="V50" s="5">
        <f t="shared" si="33"/>
        <v>4.9224364654093361E-5</v>
      </c>
      <c r="W50" s="1"/>
      <c r="X50" s="1">
        <f t="shared" si="34"/>
        <v>-32.200000000000003</v>
      </c>
      <c r="Y50" s="1"/>
      <c r="Z50" s="5">
        <f t="shared" si="35"/>
        <v>-0.57500000000000007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-16.2</v>
      </c>
      <c r="E51" s="2"/>
      <c r="F51" s="6">
        <f t="shared" si="28"/>
        <v>-1.913935291974373E-4</v>
      </c>
      <c r="G51" s="2"/>
      <c r="H51" s="7">
        <v>8</v>
      </c>
      <c r="I51" s="2"/>
      <c r="J51" s="6">
        <f t="shared" si="29"/>
        <v>3.4205721762107758E-5</v>
      </c>
      <c r="K51" s="2"/>
      <c r="L51" s="7">
        <f t="shared" si="30"/>
        <v>-24.2</v>
      </c>
      <c r="M51" s="2"/>
      <c r="N51" s="6">
        <f t="shared" si="31"/>
        <v>-3.0249999999999999</v>
      </c>
      <c r="O51" s="11"/>
      <c r="P51" s="7">
        <v>23.8</v>
      </c>
      <c r="Q51" s="2"/>
      <c r="R51" s="6">
        <f t="shared" si="32"/>
        <v>3.2347880524054691E-5</v>
      </c>
      <c r="S51" s="2"/>
      <c r="T51" s="7">
        <v>56</v>
      </c>
      <c r="U51" s="2"/>
      <c r="V51" s="6">
        <f t="shared" si="33"/>
        <v>4.9224364654093361E-5</v>
      </c>
      <c r="W51" s="2"/>
      <c r="X51" s="7">
        <f t="shared" si="34"/>
        <v>-32.200000000000003</v>
      </c>
      <c r="Y51" s="2"/>
      <c r="Z51" s="6">
        <f t="shared" si="35"/>
        <v>-0.57500000000000007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77.599999999999994</v>
      </c>
      <c r="E52" s="1"/>
      <c r="F52" s="5">
        <f t="shared" si="28"/>
        <v>9.1679863368648981E-4</v>
      </c>
      <c r="G52" s="1"/>
      <c r="H52" s="1">
        <f>SUM(OSRRefH22_4x_0)</f>
        <v>135</v>
      </c>
      <c r="I52" s="1"/>
      <c r="J52" s="5">
        <f t="shared" si="29"/>
        <v>5.772215547355684E-4</v>
      </c>
      <c r="K52" s="1"/>
      <c r="L52" s="1">
        <f t="shared" si="30"/>
        <v>-57.400000000000006</v>
      </c>
      <c r="M52" s="1"/>
      <c r="N52" s="5">
        <f t="shared" si="31"/>
        <v>-0.42518518518518522</v>
      </c>
      <c r="O52" s="14"/>
      <c r="P52" s="1">
        <f>SUM(OSRRefP22_4x_0)</f>
        <v>188.92</v>
      </c>
      <c r="Q52" s="1"/>
      <c r="R52" s="5">
        <f t="shared" si="32"/>
        <v>2.5677149531951309E-4</v>
      </c>
      <c r="S52" s="1"/>
      <c r="T52" s="1">
        <f>SUM(OSRRefT22_4x_0)</f>
        <v>1080</v>
      </c>
      <c r="U52" s="1"/>
      <c r="V52" s="5">
        <f t="shared" si="33"/>
        <v>9.4932703261465764E-4</v>
      </c>
      <c r="W52" s="1"/>
      <c r="X52" s="1">
        <f t="shared" si="34"/>
        <v>-891.08</v>
      </c>
      <c r="Y52" s="1"/>
      <c r="Z52" s="5">
        <f t="shared" si="35"/>
        <v>-0.82507407407407407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77.599999999999994</v>
      </c>
      <c r="E53" s="2"/>
      <c r="F53" s="6">
        <f t="shared" si="28"/>
        <v>9.1679863368648981E-4</v>
      </c>
      <c r="G53" s="2"/>
      <c r="H53" s="7">
        <v>135</v>
      </c>
      <c r="I53" s="2"/>
      <c r="J53" s="6">
        <f t="shared" si="29"/>
        <v>5.772215547355684E-4</v>
      </c>
      <c r="K53" s="2"/>
      <c r="L53" s="7">
        <f t="shared" si="30"/>
        <v>-57.400000000000006</v>
      </c>
      <c r="M53" s="2"/>
      <c r="N53" s="6">
        <f t="shared" si="31"/>
        <v>-0.42518518518518522</v>
      </c>
      <c r="O53" s="11"/>
      <c r="P53" s="7">
        <v>188.92</v>
      </c>
      <c r="Q53" s="2"/>
      <c r="R53" s="6">
        <f t="shared" si="32"/>
        <v>2.5677149531951309E-4</v>
      </c>
      <c r="S53" s="2"/>
      <c r="T53" s="7">
        <v>1080</v>
      </c>
      <c r="U53" s="2"/>
      <c r="V53" s="6">
        <f t="shared" si="33"/>
        <v>9.4932703261465764E-4</v>
      </c>
      <c r="W53" s="2"/>
      <c r="X53" s="7">
        <f t="shared" si="34"/>
        <v>-891.08</v>
      </c>
      <c r="Y53" s="2"/>
      <c r="Z53" s="6">
        <f t="shared" si="35"/>
        <v>-0.82507407407407407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8"/>
        <v>3.2222636514388303E-3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4"/>
      <c r="P54" s="1">
        <f>SUM(OSRRefP22_5x_0)</f>
        <v>1917.7</v>
      </c>
      <c r="Q54" s="1"/>
      <c r="R54" s="5">
        <f t="shared" si="32"/>
        <v>2.6064508605453647E-3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1917.7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3.2222636514388303E-3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1917.7</v>
      </c>
      <c r="Q55" s="2"/>
      <c r="R55" s="6">
        <f t="shared" si="32"/>
        <v>2.6064508605453647E-3</v>
      </c>
      <c r="S55" s="2"/>
      <c r="T55" s="7"/>
      <c r="U55" s="2"/>
      <c r="V55" s="6">
        <f t="shared" si="33"/>
        <v>0</v>
      </c>
      <c r="W55" s="2"/>
      <c r="X55" s="7">
        <f t="shared" si="34"/>
        <v>1917.7</v>
      </c>
      <c r="Y55" s="2"/>
      <c r="Z55" s="6">
        <f t="shared" si="35"/>
        <v>0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5361.28</v>
      </c>
      <c r="E56" s="1"/>
      <c r="F56" s="5">
        <f t="shared" si="28"/>
        <v>6.3340388902199798E-2</v>
      </c>
      <c r="G56" s="1"/>
      <c r="H56" s="1">
        <f>SUM(OSRRefH22_6x_0)</f>
        <v>3100</v>
      </c>
      <c r="I56" s="1"/>
      <c r="J56" s="5">
        <f t="shared" si="29"/>
        <v>1.3254717182816756E-2</v>
      </c>
      <c r="K56" s="1"/>
      <c r="L56" s="1">
        <f t="shared" si="30"/>
        <v>2261.2799999999997</v>
      </c>
      <c r="M56" s="1"/>
      <c r="N56" s="5">
        <f t="shared" si="31"/>
        <v>0.72944516129032255</v>
      </c>
      <c r="O56" s="14"/>
      <c r="P56" s="1">
        <f>SUM(OSRRefP22_6x_0)</f>
        <v>43642.43</v>
      </c>
      <c r="Q56" s="1"/>
      <c r="R56" s="5">
        <f t="shared" si="32"/>
        <v>5.9316811404177314E-2</v>
      </c>
      <c r="S56" s="1"/>
      <c r="T56" s="1">
        <f>SUM(OSRRefT22_6x_0)</f>
        <v>23700</v>
      </c>
      <c r="U56" s="1"/>
      <c r="V56" s="5">
        <f t="shared" si="33"/>
        <v>2.0832454326821653E-2</v>
      </c>
      <c r="W56" s="1"/>
      <c r="X56" s="1">
        <f t="shared" si="34"/>
        <v>19942.43</v>
      </c>
      <c r="Y56" s="1"/>
      <c r="Z56" s="5">
        <f t="shared" si="35"/>
        <v>0.84145274261603376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5361.28</v>
      </c>
      <c r="E57" s="2"/>
      <c r="F57" s="6">
        <f t="shared" si="28"/>
        <v>6.3340388902199798E-2</v>
      </c>
      <c r="G57" s="2"/>
      <c r="H57" s="7">
        <v>3100</v>
      </c>
      <c r="I57" s="2"/>
      <c r="J57" s="6">
        <f t="shared" si="29"/>
        <v>1.3254717182816756E-2</v>
      </c>
      <c r="K57" s="2"/>
      <c r="L57" s="7">
        <f t="shared" si="30"/>
        <v>2261.2799999999997</v>
      </c>
      <c r="M57" s="2"/>
      <c r="N57" s="6">
        <f t="shared" si="31"/>
        <v>0.72944516129032255</v>
      </c>
      <c r="O57" s="11"/>
      <c r="P57" s="7">
        <v>43642.43</v>
      </c>
      <c r="Q57" s="2"/>
      <c r="R57" s="6">
        <f t="shared" si="32"/>
        <v>5.9316811404177314E-2</v>
      </c>
      <c r="S57" s="2"/>
      <c r="T57" s="7">
        <v>23700</v>
      </c>
      <c r="U57" s="2"/>
      <c r="V57" s="6">
        <f t="shared" si="33"/>
        <v>2.0832454326821653E-2</v>
      </c>
      <c r="W57" s="2"/>
      <c r="X57" s="7">
        <f t="shared" si="34"/>
        <v>19942.43</v>
      </c>
      <c r="Y57" s="2"/>
      <c r="Z57" s="6">
        <f t="shared" si="35"/>
        <v>0.84145274261603376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6.4135728303952048E-4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1050</v>
      </c>
      <c r="U58" s="1"/>
      <c r="V58" s="5">
        <f t="shared" si="33"/>
        <v>9.229568372642505E-4</v>
      </c>
      <c r="W58" s="1"/>
      <c r="X58" s="1">
        <f t="shared" si="34"/>
        <v>-1050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6.4135728303952048E-4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1050</v>
      </c>
      <c r="U59" s="2"/>
      <c r="V59" s="6">
        <f t="shared" si="33"/>
        <v>9.229568372642505E-4</v>
      </c>
      <c r="W59" s="2"/>
      <c r="X59" s="7">
        <f t="shared" si="34"/>
        <v>-1050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336.86</v>
      </c>
      <c r="E60" s="1"/>
      <c r="F60" s="5">
        <f t="shared" si="28"/>
        <v>3.9798039657684406E-3</v>
      </c>
      <c r="G60" s="1"/>
      <c r="H60" s="1">
        <f>SUM(OSRRefH22_8x_0)</f>
        <v>290</v>
      </c>
      <c r="I60" s="1"/>
      <c r="J60" s="5">
        <f t="shared" si="29"/>
        <v>1.2399574138764061E-3</v>
      </c>
      <c r="K60" s="1"/>
      <c r="L60" s="1">
        <f t="shared" si="30"/>
        <v>46.860000000000014</v>
      </c>
      <c r="M60" s="1"/>
      <c r="N60" s="5">
        <f t="shared" si="31"/>
        <v>0.16158620689655176</v>
      </c>
      <c r="O60" s="14"/>
      <c r="P60" s="1">
        <f>SUM(OSRRefP22_8x_0)</f>
        <v>2103.3200000000002</v>
      </c>
      <c r="Q60" s="1"/>
      <c r="R60" s="5">
        <f t="shared" si="32"/>
        <v>2.8587371455401139E-3</v>
      </c>
      <c r="S60" s="1"/>
      <c r="T60" s="1">
        <f>SUM(OSRRefT22_8x_0)</f>
        <v>2320</v>
      </c>
      <c r="U60" s="1"/>
      <c r="V60" s="5">
        <f t="shared" si="33"/>
        <v>2.0392951070981533E-3</v>
      </c>
      <c r="W60" s="1"/>
      <c r="X60" s="1">
        <f t="shared" si="34"/>
        <v>-216.67999999999984</v>
      </c>
      <c r="Y60" s="1"/>
      <c r="Z60" s="5">
        <f t="shared" si="35"/>
        <v>-9.3396551724137855E-2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336.86</v>
      </c>
      <c r="E61" s="2"/>
      <c r="F61" s="6">
        <f t="shared" si="28"/>
        <v>3.9798039657684406E-3</v>
      </c>
      <c r="G61" s="2"/>
      <c r="H61" s="7">
        <v>290</v>
      </c>
      <c r="I61" s="2"/>
      <c r="J61" s="6">
        <f t="shared" si="29"/>
        <v>1.2399574138764061E-3</v>
      </c>
      <c r="K61" s="2"/>
      <c r="L61" s="7">
        <f t="shared" si="30"/>
        <v>46.860000000000014</v>
      </c>
      <c r="M61" s="2"/>
      <c r="N61" s="6">
        <f t="shared" si="31"/>
        <v>0.16158620689655176</v>
      </c>
      <c r="O61" s="11"/>
      <c r="P61" s="7">
        <v>2103.3200000000002</v>
      </c>
      <c r="Q61" s="2"/>
      <c r="R61" s="6">
        <f t="shared" si="32"/>
        <v>2.8587371455401139E-3</v>
      </c>
      <c r="S61" s="2"/>
      <c r="T61" s="7">
        <v>2320</v>
      </c>
      <c r="U61" s="2"/>
      <c r="V61" s="6">
        <f t="shared" si="33"/>
        <v>2.0392951070981533E-3</v>
      </c>
      <c r="W61" s="2"/>
      <c r="X61" s="7">
        <f t="shared" si="34"/>
        <v>-216.67999999999984</v>
      </c>
      <c r="Y61" s="2"/>
      <c r="Z61" s="6">
        <f t="shared" si="35"/>
        <v>-9.3396551724137855E-2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1.1544431094711368E-3</v>
      </c>
      <c r="K62" s="1"/>
      <c r="L62" s="1">
        <f t="shared" si="30"/>
        <v>-270</v>
      </c>
      <c r="M62" s="1"/>
      <c r="N62" s="5">
        <f t="shared" si="31"/>
        <v>-1</v>
      </c>
      <c r="O62" s="14"/>
      <c r="P62" s="1">
        <f>SUM(OSRRefP22_9x_0)</f>
        <v>1888.78</v>
      </c>
      <c r="Q62" s="1"/>
      <c r="R62" s="5">
        <f t="shared" si="32"/>
        <v>2.5671441082447065E-3</v>
      </c>
      <c r="S62" s="1"/>
      <c r="T62" s="1">
        <f>SUM(OSRRefT22_9x_0)</f>
        <v>3640</v>
      </c>
      <c r="U62" s="1"/>
      <c r="V62" s="5">
        <f t="shared" si="33"/>
        <v>3.1995837025160681E-3</v>
      </c>
      <c r="W62" s="1"/>
      <c r="X62" s="1">
        <f t="shared" si="34"/>
        <v>-1751.22</v>
      </c>
      <c r="Y62" s="1"/>
      <c r="Z62" s="5">
        <f t="shared" si="35"/>
        <v>-0.48110439560439561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270</v>
      </c>
      <c r="I63" s="2"/>
      <c r="J63" s="6">
        <f t="shared" si="29"/>
        <v>1.1544431094711368E-3</v>
      </c>
      <c r="K63" s="2"/>
      <c r="L63" s="7">
        <f t="shared" si="30"/>
        <v>-270</v>
      </c>
      <c r="M63" s="2"/>
      <c r="N63" s="6">
        <f t="shared" si="31"/>
        <v>-1</v>
      </c>
      <c r="O63" s="11"/>
      <c r="P63" s="7">
        <v>1888.78</v>
      </c>
      <c r="Q63" s="2"/>
      <c r="R63" s="6">
        <f t="shared" si="32"/>
        <v>2.5671441082447065E-3</v>
      </c>
      <c r="S63" s="2"/>
      <c r="T63" s="7">
        <v>3640</v>
      </c>
      <c r="U63" s="2"/>
      <c r="V63" s="6">
        <f t="shared" si="33"/>
        <v>3.1995837025160681E-3</v>
      </c>
      <c r="W63" s="2"/>
      <c r="X63" s="7">
        <f t="shared" si="34"/>
        <v>-1751.22</v>
      </c>
      <c r="Y63" s="2"/>
      <c r="Z63" s="6">
        <f t="shared" si="35"/>
        <v>-0.48110439560439561</v>
      </c>
    </row>
    <row r="64" spans="1:26" s="28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6342.49</v>
      </c>
      <c r="E64" s="1"/>
      <c r="F64" s="5">
        <f t="shared" si="28"/>
        <v>7.4932811419719386E-2</v>
      </c>
      <c r="G64" s="1"/>
      <c r="H64" s="1">
        <f>SUM(OSRRefH22_10x_0)</f>
        <v>18710</v>
      </c>
      <c r="I64" s="1"/>
      <c r="J64" s="5">
        <f t="shared" si="29"/>
        <v>7.9998631771129522E-2</v>
      </c>
      <c r="K64" s="1"/>
      <c r="L64" s="1">
        <f t="shared" si="30"/>
        <v>-12367.51</v>
      </c>
      <c r="M64" s="1"/>
      <c r="N64" s="5">
        <f t="shared" si="31"/>
        <v>-0.66101068947087116</v>
      </c>
      <c r="O64" s="14"/>
      <c r="P64" s="1">
        <f>SUM(OSRRefP22_10x_0)</f>
        <v>50356.5</v>
      </c>
      <c r="Q64" s="1"/>
      <c r="R64" s="5">
        <f t="shared" si="32"/>
        <v>6.844227082393109E-2</v>
      </c>
      <c r="S64" s="1"/>
      <c r="T64" s="1">
        <f>SUM(OSRRefT22_10x_0)</f>
        <v>93289</v>
      </c>
      <c r="U64" s="1"/>
      <c r="V64" s="5">
        <f t="shared" si="33"/>
        <v>8.2001638468137766E-2</v>
      </c>
      <c r="W64" s="1"/>
      <c r="X64" s="1">
        <f t="shared" si="34"/>
        <v>-42932.5</v>
      </c>
      <c r="Y64" s="1"/>
      <c r="Z64" s="5">
        <f t="shared" si="35"/>
        <v>-0.46020967102230703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6342.49</v>
      </c>
      <c r="E65" s="2"/>
      <c r="F65" s="6">
        <f t="shared" si="28"/>
        <v>7.4932811419719386E-2</v>
      </c>
      <c r="G65" s="2"/>
      <c r="H65" s="7">
        <v>18710</v>
      </c>
      <c r="I65" s="2"/>
      <c r="J65" s="6">
        <f t="shared" si="29"/>
        <v>7.9998631771129522E-2</v>
      </c>
      <c r="K65" s="2"/>
      <c r="L65" s="7">
        <f t="shared" si="30"/>
        <v>-12367.51</v>
      </c>
      <c r="M65" s="2"/>
      <c r="N65" s="6">
        <f t="shared" si="31"/>
        <v>-0.66101068947087116</v>
      </c>
      <c r="O65" s="11"/>
      <c r="P65" s="7">
        <v>50356.5</v>
      </c>
      <c r="Q65" s="2"/>
      <c r="R65" s="6">
        <f t="shared" si="32"/>
        <v>6.844227082393109E-2</v>
      </c>
      <c r="S65" s="2"/>
      <c r="T65" s="7">
        <v>93289</v>
      </c>
      <c r="U65" s="2"/>
      <c r="V65" s="6">
        <f t="shared" si="33"/>
        <v>8.2001638468137766E-2</v>
      </c>
      <c r="W65" s="2"/>
      <c r="X65" s="7">
        <f t="shared" si="34"/>
        <v>-42932.5</v>
      </c>
      <c r="Y65" s="2"/>
      <c r="Z65" s="6">
        <f t="shared" si="35"/>
        <v>-0.46020967102230703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87.740000000000009</v>
      </c>
      <c r="E66" s="1"/>
      <c r="F66" s="5">
        <f t="shared" si="28"/>
        <v>1.0365968056656265E-3</v>
      </c>
      <c r="G66" s="1"/>
      <c r="H66" s="1">
        <f>SUM(OSRRefH22_11x_0)</f>
        <v>288</v>
      </c>
      <c r="I66" s="1"/>
      <c r="J66" s="5">
        <f t="shared" si="29"/>
        <v>1.2314059834358793E-3</v>
      </c>
      <c r="K66" s="1"/>
      <c r="L66" s="1">
        <f t="shared" si="30"/>
        <v>-200.26</v>
      </c>
      <c r="M66" s="1"/>
      <c r="N66" s="5">
        <f t="shared" si="31"/>
        <v>-0.69534722222222223</v>
      </c>
      <c r="O66" s="14"/>
      <c r="P66" s="1">
        <f>SUM(OSRRefP22_11x_0)</f>
        <v>3353.95</v>
      </c>
      <c r="Q66" s="1"/>
      <c r="R66" s="5">
        <f t="shared" si="32"/>
        <v>4.5585367178005553E-3</v>
      </c>
      <c r="S66" s="1"/>
      <c r="T66" s="1">
        <f>SUM(OSRRefT22_11x_0)</f>
        <v>13887</v>
      </c>
      <c r="U66" s="1"/>
      <c r="V66" s="5">
        <f t="shared" si="33"/>
        <v>1.2206763427703472E-2</v>
      </c>
      <c r="W66" s="1"/>
      <c r="X66" s="1">
        <f t="shared" si="34"/>
        <v>-10533.05</v>
      </c>
      <c r="Y66" s="1"/>
      <c r="Z66" s="5">
        <f t="shared" si="35"/>
        <v>-0.75848275365449691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7.4715553492820273E-3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25">
      <c r="A68" s="27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2.7099770755101755E-3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7">
        <v>9.5399999999999991</v>
      </c>
      <c r="E69" s="2"/>
      <c r="F69" s="6">
        <f t="shared" si="28"/>
        <v>1.1270952274960195E-4</v>
      </c>
      <c r="G69" s="2"/>
      <c r="H69" s="7">
        <v>38</v>
      </c>
      <c r="I69" s="2"/>
      <c r="J69" s="6">
        <f t="shared" si="29"/>
        <v>1.6247717837001183E-4</v>
      </c>
      <c r="K69" s="2"/>
      <c r="L69" s="7">
        <f t="shared" si="30"/>
        <v>-28.46</v>
      </c>
      <c r="M69" s="2"/>
      <c r="N69" s="6">
        <f t="shared" si="31"/>
        <v>-0.74894736842105269</v>
      </c>
      <c r="O69" s="11"/>
      <c r="P69" s="7">
        <v>1598.93</v>
      </c>
      <c r="Q69" s="2"/>
      <c r="R69" s="6">
        <f t="shared" si="32"/>
        <v>2.1731931347196121E-3</v>
      </c>
      <c r="S69" s="2"/>
      <c r="T69" s="7">
        <v>304</v>
      </c>
      <c r="U69" s="2"/>
      <c r="V69" s="6">
        <f t="shared" si="33"/>
        <v>2.6721797955079252E-4</v>
      </c>
      <c r="W69" s="2"/>
      <c r="X69" s="7">
        <f t="shared" si="34"/>
        <v>1294.93</v>
      </c>
      <c r="Y69" s="2"/>
      <c r="Z69" s="6">
        <f t="shared" si="35"/>
        <v>4.2596381578947371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78.2</v>
      </c>
      <c r="E70" s="2"/>
      <c r="F70" s="6">
        <f t="shared" si="28"/>
        <v>9.2388728291602456E-4</v>
      </c>
      <c r="G70" s="2"/>
      <c r="H70" s="7">
        <v>250</v>
      </c>
      <c r="I70" s="2"/>
      <c r="J70" s="6">
        <f t="shared" si="29"/>
        <v>1.0689288050658673E-3</v>
      </c>
      <c r="K70" s="2"/>
      <c r="L70" s="7">
        <f t="shared" si="30"/>
        <v>-171.8</v>
      </c>
      <c r="M70" s="2"/>
      <c r="N70" s="6">
        <f t="shared" si="31"/>
        <v>-0.68720000000000003</v>
      </c>
      <c r="O70" s="11"/>
      <c r="P70" s="7">
        <v>1755.02</v>
      </c>
      <c r="Q70" s="2"/>
      <c r="R70" s="6">
        <f t="shared" si="32"/>
        <v>2.3853435830809436E-3</v>
      </c>
      <c r="S70" s="2"/>
      <c r="T70" s="7">
        <v>2000</v>
      </c>
      <c r="U70" s="2"/>
      <c r="V70" s="6">
        <f t="shared" si="33"/>
        <v>1.7580130233604771E-3</v>
      </c>
      <c r="W70" s="2"/>
      <c r="X70" s="7">
        <f t="shared" si="34"/>
        <v>-244.98000000000002</v>
      </c>
      <c r="Y70" s="2"/>
      <c r="Z70" s="6">
        <f t="shared" si="35"/>
        <v>-0.12249000000000002</v>
      </c>
    </row>
    <row r="71" spans="1:26" s="28" customFormat="1" outlineLevel="1" collapsed="1" x14ac:dyDescent="0.25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SUM(OSRRefD22_12x_0)</f>
        <v>5542.82</v>
      </c>
      <c r="E71" s="1"/>
      <c r="F71" s="5">
        <f t="shared" ref="F71:F75" si="36">IF(D$12=0,0,D71/D$12)</f>
        <v>6.5485177870749353E-2</v>
      </c>
      <c r="G71" s="1"/>
      <c r="H71" s="1">
        <f>SUM(OSRRefH22_12x_0)</f>
        <v>6521</v>
      </c>
      <c r="I71" s="1"/>
      <c r="J71" s="5">
        <f t="shared" ref="J71:J75" si="37">IF(H$12=0,0,H71/H$12)</f>
        <v>2.7881938951338087E-2</v>
      </c>
      <c r="K71" s="1"/>
      <c r="L71" s="1">
        <f t="shared" ref="L71:L75" si="38">+D71-H71</f>
        <v>-978.18000000000029</v>
      </c>
      <c r="M71" s="1"/>
      <c r="N71" s="5">
        <f t="shared" ref="N71:N75" si="39">IF(H71=0,0,L71/H71)</f>
        <v>-0.15000460052139247</v>
      </c>
      <c r="O71" s="14"/>
      <c r="P71" s="1">
        <f>SUM(OSRRefP22_12x_0)</f>
        <v>38254.639999999999</v>
      </c>
      <c r="Q71" s="1"/>
      <c r="R71" s="5">
        <f t="shared" ref="R71:R75" si="40">IF(P$12=0,0,P71/P$12)</f>
        <v>5.199397160549258E-2</v>
      </c>
      <c r="S71" s="1"/>
      <c r="T71" s="1">
        <f>SUM(OSRRefT22_12x_0)</f>
        <v>50368</v>
      </c>
      <c r="U71" s="1"/>
      <c r="V71" s="5">
        <f t="shared" ref="V71:V75" si="41">IF(T$12=0,0,T71/T$12)</f>
        <v>4.4273799980310252E-2</v>
      </c>
      <c r="W71" s="1"/>
      <c r="X71" s="1">
        <f t="shared" ref="X71:X75" si="42">+P71-T71</f>
        <v>-12113.36</v>
      </c>
      <c r="Y71" s="1"/>
      <c r="Z71" s="5">
        <f t="shared" ref="Z71:Z75" si="43">IF(T71=0,0,X71/T71)</f>
        <v>-0.2404971410419314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421.34</v>
      </c>
      <c r="E72" s="2"/>
      <c r="F72" s="6">
        <f t="shared" si="36"/>
        <v>4.977885777286928E-3</v>
      </c>
      <c r="G72" s="2"/>
      <c r="H72" s="7">
        <v>450</v>
      </c>
      <c r="I72" s="2"/>
      <c r="J72" s="6">
        <f t="shared" si="37"/>
        <v>1.9240718491185613E-3</v>
      </c>
      <c r="K72" s="2"/>
      <c r="L72" s="7">
        <f t="shared" si="38"/>
        <v>-28.660000000000025</v>
      </c>
      <c r="M72" s="2"/>
      <c r="N72" s="6">
        <f t="shared" si="39"/>
        <v>-6.3688888888888948E-2</v>
      </c>
      <c r="O72" s="11"/>
      <c r="P72" s="7">
        <v>2817.42</v>
      </c>
      <c r="Q72" s="2"/>
      <c r="R72" s="6">
        <f t="shared" si="40"/>
        <v>3.8293094767261416E-3</v>
      </c>
      <c r="S72" s="2"/>
      <c r="T72" s="7">
        <v>3600</v>
      </c>
      <c r="U72" s="2"/>
      <c r="V72" s="6">
        <f t="shared" si="41"/>
        <v>3.1644234420488589E-3</v>
      </c>
      <c r="W72" s="2"/>
      <c r="X72" s="7">
        <f t="shared" si="42"/>
        <v>-782.57999999999993</v>
      </c>
      <c r="Y72" s="2"/>
      <c r="Z72" s="6">
        <f t="shared" si="43"/>
        <v>-0.21738333333333332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3.843009755536329E-4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7">
        <v>4468.33</v>
      </c>
      <c r="E74" s="2"/>
      <c r="F74" s="6">
        <f t="shared" si="36"/>
        <v>5.2790706686344759E-2</v>
      </c>
      <c r="G74" s="2"/>
      <c r="H74" s="7">
        <v>4571</v>
      </c>
      <c r="I74" s="2"/>
      <c r="J74" s="6">
        <f t="shared" si="37"/>
        <v>1.954429427182432E-2</v>
      </c>
      <c r="K74" s="2"/>
      <c r="L74" s="7">
        <f t="shared" si="38"/>
        <v>-102.67000000000007</v>
      </c>
      <c r="M74" s="2"/>
      <c r="N74" s="6">
        <f t="shared" si="39"/>
        <v>-2.2461168234522003E-2</v>
      </c>
      <c r="O74" s="11"/>
      <c r="P74" s="7">
        <v>29139.289999999997</v>
      </c>
      <c r="Q74" s="2"/>
      <c r="R74" s="6">
        <f t="shared" si="40"/>
        <v>3.9604801322511825E-2</v>
      </c>
      <c r="S74" s="2"/>
      <c r="T74" s="7">
        <v>34768</v>
      </c>
      <c r="U74" s="2"/>
      <c r="V74" s="6">
        <f t="shared" si="41"/>
        <v>3.0561298398098534E-2</v>
      </c>
      <c r="W74" s="2"/>
      <c r="X74" s="7">
        <f t="shared" si="42"/>
        <v>-5628.7100000000028</v>
      </c>
      <c r="Y74" s="2"/>
      <c r="Z74" s="6">
        <f t="shared" si="43"/>
        <v>-0.16189340773124719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7">
        <v>653.15</v>
      </c>
      <c r="E75" s="2"/>
      <c r="F75" s="6">
        <f t="shared" si="36"/>
        <v>7.7165854071176649E-3</v>
      </c>
      <c r="G75" s="2"/>
      <c r="H75" s="7">
        <v>1500</v>
      </c>
      <c r="I75" s="2"/>
      <c r="J75" s="6">
        <f t="shared" si="37"/>
        <v>6.4135728303952042E-3</v>
      </c>
      <c r="K75" s="2"/>
      <c r="L75" s="7">
        <f t="shared" si="38"/>
        <v>-846.85</v>
      </c>
      <c r="M75" s="2"/>
      <c r="N75" s="6">
        <f t="shared" si="39"/>
        <v>-0.56456666666666666</v>
      </c>
      <c r="O75" s="11"/>
      <c r="P75" s="7">
        <v>6015.18</v>
      </c>
      <c r="Q75" s="2"/>
      <c r="R75" s="6">
        <f t="shared" si="40"/>
        <v>8.1755598307009791E-3</v>
      </c>
      <c r="S75" s="2"/>
      <c r="T75" s="7">
        <v>12000</v>
      </c>
      <c r="U75" s="2"/>
      <c r="V75" s="6">
        <f t="shared" si="41"/>
        <v>1.0548078140162863E-2</v>
      </c>
      <c r="W75" s="2"/>
      <c r="X75" s="7">
        <f t="shared" si="42"/>
        <v>-5984.82</v>
      </c>
      <c r="Y75" s="2"/>
      <c r="Z75" s="6">
        <f t="shared" si="43"/>
        <v>-0.49873499999999998</v>
      </c>
    </row>
    <row r="76" spans="1:26" s="28" customFormat="1" outlineLevel="1" collapsed="1" x14ac:dyDescent="0.25">
      <c r="A76" s="29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4"/>
      <c r="P76" s="1">
        <f>SUM(OSRRefP22_13x_0)</f>
        <v>795</v>
      </c>
      <c r="Q76" s="1"/>
      <c r="R76" s="5">
        <f t="shared" ref="R76:R87" si="48">IF(P$12=0,0,P76/P$12)</f>
        <v>1.0805279418749361E-3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1.0805279418749361E-3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8" customFormat="1" outlineLevel="1" collapsed="1" x14ac:dyDescent="0.25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SUM(OSRRefD22_14x_0)</f>
        <v>12072.349999999999</v>
      </c>
      <c r="E78" s="1"/>
      <c r="F78" s="5">
        <f t="shared" si="44"/>
        <v>0.14262775754362234</v>
      </c>
      <c r="G78" s="1"/>
      <c r="H78" s="1">
        <f>SUM(OSRRefH22_14x_0)</f>
        <v>8018</v>
      </c>
      <c r="I78" s="1"/>
      <c r="J78" s="5">
        <f t="shared" si="45"/>
        <v>3.4282684636072501E-2</v>
      </c>
      <c r="K78" s="1"/>
      <c r="L78" s="1">
        <f t="shared" si="46"/>
        <v>4054.3499999999985</v>
      </c>
      <c r="M78" s="1"/>
      <c r="N78" s="5">
        <f t="shared" si="47"/>
        <v>0.50565602394612108</v>
      </c>
      <c r="O78" s="14"/>
      <c r="P78" s="1">
        <f>SUM(OSRRefP22_14x_0)</f>
        <v>97449.680000000008</v>
      </c>
      <c r="Q78" s="1"/>
      <c r="R78" s="5">
        <f t="shared" si="48"/>
        <v>0.13244918511543538</v>
      </c>
      <c r="S78" s="1"/>
      <c r="T78" s="1">
        <f>SUM(OSRRefT22_14x_0)</f>
        <v>57366</v>
      </c>
      <c r="U78" s="1"/>
      <c r="V78" s="5">
        <f t="shared" si="49"/>
        <v>5.0425087549048564E-2</v>
      </c>
      <c r="W78" s="1"/>
      <c r="X78" s="1">
        <f t="shared" si="50"/>
        <v>40083.680000000008</v>
      </c>
      <c r="Y78" s="1"/>
      <c r="Z78" s="5">
        <f t="shared" si="51"/>
        <v>0.69873583655824023</v>
      </c>
    </row>
    <row r="79" spans="1:26" s="24" customFormat="1" hidden="1" outlineLevel="2" x14ac:dyDescent="0.25">
      <c r="A79" s="27"/>
      <c r="B79" s="11" t="str">
        <f>CONCATENATE("          ", "6235", " - ", "COVID-19 EXPENSES")</f>
        <v xml:space="preserve">          6235 - COVID-19 EXPENSES</v>
      </c>
      <c r="C79" s="11"/>
      <c r="D79" s="7">
        <v>2921.2</v>
      </c>
      <c r="E79" s="2"/>
      <c r="F79" s="6">
        <f t="shared" si="44"/>
        <v>3.4512270215528017E-2</v>
      </c>
      <c r="G79" s="2"/>
      <c r="H79" s="7">
        <v>4000</v>
      </c>
      <c r="I79" s="2"/>
      <c r="J79" s="6">
        <f t="shared" si="45"/>
        <v>1.7102860881053877E-2</v>
      </c>
      <c r="K79" s="2"/>
      <c r="L79" s="7">
        <f t="shared" si="46"/>
        <v>-1078.8000000000002</v>
      </c>
      <c r="M79" s="2"/>
      <c r="N79" s="6">
        <f t="shared" si="47"/>
        <v>-0.26970000000000005</v>
      </c>
      <c r="O79" s="11"/>
      <c r="P79" s="7">
        <v>47255.270000000004</v>
      </c>
      <c r="Q79" s="2"/>
      <c r="R79" s="6">
        <f t="shared" si="48"/>
        <v>6.4227219667728819E-2</v>
      </c>
      <c r="S79" s="2"/>
      <c r="T79" s="7">
        <v>28000</v>
      </c>
      <c r="U79" s="2"/>
      <c r="V79" s="6">
        <f t="shared" si="49"/>
        <v>2.4612182327046678E-2</v>
      </c>
      <c r="W79" s="2"/>
      <c r="X79" s="7">
        <f t="shared" si="50"/>
        <v>19255.270000000004</v>
      </c>
      <c r="Y79" s="2"/>
      <c r="Z79" s="6">
        <f t="shared" si="51"/>
        <v>0.68768821428571447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7">
        <v>648.99</v>
      </c>
      <c r="E80" s="2"/>
      <c r="F80" s="6">
        <f t="shared" si="44"/>
        <v>7.667437439126225E-3</v>
      </c>
      <c r="G80" s="2"/>
      <c r="H80" s="7">
        <v>3000</v>
      </c>
      <c r="I80" s="2"/>
      <c r="J80" s="6">
        <f t="shared" si="45"/>
        <v>1.2827145660790408E-2</v>
      </c>
      <c r="K80" s="2"/>
      <c r="L80" s="7">
        <f t="shared" si="46"/>
        <v>-2351.0100000000002</v>
      </c>
      <c r="M80" s="2"/>
      <c r="N80" s="6">
        <f t="shared" si="47"/>
        <v>-0.78367000000000009</v>
      </c>
      <c r="O80" s="11"/>
      <c r="P80" s="7">
        <v>13194.87</v>
      </c>
      <c r="Q80" s="2"/>
      <c r="R80" s="6">
        <f t="shared" si="48"/>
        <v>1.7933868835732503E-2</v>
      </c>
      <c r="S80" s="2"/>
      <c r="T80" s="7">
        <v>21000</v>
      </c>
      <c r="U80" s="2"/>
      <c r="V80" s="6">
        <f t="shared" si="49"/>
        <v>1.8459136745285008E-2</v>
      </c>
      <c r="W80" s="2"/>
      <c r="X80" s="7">
        <f t="shared" si="50"/>
        <v>-7805.1299999999992</v>
      </c>
      <c r="Y80" s="2"/>
      <c r="Z80" s="6">
        <f t="shared" si="51"/>
        <v>-0.37167285714285708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7">
        <v>253.3</v>
      </c>
      <c r="E81" s="2"/>
      <c r="F81" s="6">
        <f t="shared" si="44"/>
        <v>2.9925914164019058E-3</v>
      </c>
      <c r="G81" s="2"/>
      <c r="H81" s="7">
        <v>500</v>
      </c>
      <c r="I81" s="2"/>
      <c r="J81" s="6">
        <f t="shared" si="45"/>
        <v>2.1378576101317346E-3</v>
      </c>
      <c r="K81" s="2"/>
      <c r="L81" s="7">
        <f t="shared" si="46"/>
        <v>-246.7</v>
      </c>
      <c r="M81" s="2"/>
      <c r="N81" s="6">
        <f t="shared" si="47"/>
        <v>-0.49339999999999995</v>
      </c>
      <c r="O81" s="11"/>
      <c r="P81" s="7">
        <v>6016.26</v>
      </c>
      <c r="Q81" s="2"/>
      <c r="R81" s="6">
        <f t="shared" si="48"/>
        <v>8.1770277177163567E-3</v>
      </c>
      <c r="S81" s="2"/>
      <c r="T81" s="7">
        <v>3500</v>
      </c>
      <c r="U81" s="2"/>
      <c r="V81" s="6">
        <f t="shared" si="49"/>
        <v>3.0765227908808347E-3</v>
      </c>
      <c r="W81" s="2"/>
      <c r="X81" s="7">
        <f t="shared" si="50"/>
        <v>2516.2600000000002</v>
      </c>
      <c r="Y81" s="2"/>
      <c r="Z81" s="6">
        <f t="shared" si="51"/>
        <v>0.71893142857142867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7">
        <v>1048.1199999999999</v>
      </c>
      <c r="E82" s="2"/>
      <c r="F82" s="6">
        <f t="shared" si="44"/>
        <v>1.2382925050766541E-2</v>
      </c>
      <c r="G82" s="2"/>
      <c r="H82" s="7">
        <v>150</v>
      </c>
      <c r="I82" s="2"/>
      <c r="J82" s="6">
        <f t="shared" si="45"/>
        <v>6.4135728303952048E-4</v>
      </c>
      <c r="K82" s="2"/>
      <c r="L82" s="7">
        <f t="shared" si="46"/>
        <v>898.11999999999989</v>
      </c>
      <c r="M82" s="2"/>
      <c r="N82" s="6">
        <f t="shared" si="47"/>
        <v>5.9874666666666663</v>
      </c>
      <c r="O82" s="11"/>
      <c r="P82" s="7">
        <v>5238.75</v>
      </c>
      <c r="Q82" s="2"/>
      <c r="R82" s="6">
        <f t="shared" si="48"/>
        <v>7.1202713905626682E-3</v>
      </c>
      <c r="S82" s="2"/>
      <c r="T82" s="7">
        <v>1200</v>
      </c>
      <c r="U82" s="2"/>
      <c r="V82" s="6">
        <f t="shared" si="49"/>
        <v>1.0548078140162863E-3</v>
      </c>
      <c r="W82" s="2"/>
      <c r="X82" s="7">
        <f t="shared" si="50"/>
        <v>4038.75</v>
      </c>
      <c r="Y82" s="2"/>
      <c r="Z82" s="6">
        <f t="shared" si="51"/>
        <v>3.3656250000000001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7">
        <v>7200.74</v>
      </c>
      <c r="E83" s="2"/>
      <c r="F83" s="6">
        <f t="shared" si="44"/>
        <v>8.507253342179967E-2</v>
      </c>
      <c r="G83" s="2"/>
      <c r="H83" s="7"/>
      <c r="I83" s="2"/>
      <c r="J83" s="6">
        <f t="shared" si="45"/>
        <v>0</v>
      </c>
      <c r="K83" s="2"/>
      <c r="L83" s="7">
        <f t="shared" si="46"/>
        <v>7200.74</v>
      </c>
      <c r="M83" s="2"/>
      <c r="N83" s="6">
        <f t="shared" si="47"/>
        <v>0</v>
      </c>
      <c r="O83" s="11"/>
      <c r="P83" s="7">
        <v>21243.94</v>
      </c>
      <c r="Q83" s="2"/>
      <c r="R83" s="6">
        <f t="shared" si="48"/>
        <v>2.8873799705049847E-2</v>
      </c>
      <c r="S83" s="2"/>
      <c r="T83" s="7"/>
      <c r="U83" s="2"/>
      <c r="V83" s="6">
        <f t="shared" si="49"/>
        <v>0</v>
      </c>
      <c r="W83" s="2"/>
      <c r="X83" s="7">
        <f t="shared" si="50"/>
        <v>21243.94</v>
      </c>
      <c r="Y83" s="2"/>
      <c r="Z83" s="6">
        <f t="shared" si="51"/>
        <v>0</v>
      </c>
    </row>
    <row r="84" spans="1:26" s="24" customFormat="1" hidden="1" outlineLevel="2" x14ac:dyDescent="0.25">
      <c r="A84" s="27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>
        <v>0</v>
      </c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/>
      <c r="Q84" s="2"/>
      <c r="R84" s="6">
        <f t="shared" si="48"/>
        <v>0</v>
      </c>
      <c r="S84" s="2"/>
      <c r="T84" s="7">
        <v>240</v>
      </c>
      <c r="U84" s="2"/>
      <c r="V84" s="6">
        <f t="shared" si="49"/>
        <v>2.1096156280325725E-4</v>
      </c>
      <c r="W84" s="2"/>
      <c r="X84" s="7">
        <f t="shared" si="50"/>
        <v>-240</v>
      </c>
      <c r="Y84" s="2"/>
      <c r="Z84" s="6">
        <f t="shared" si="51"/>
        <v>-1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4.3950325584011927E-4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7.6962873964742454E-5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126</v>
      </c>
      <c r="U86" s="2"/>
      <c r="V86" s="6">
        <f t="shared" si="49"/>
        <v>1.1075482047171005E-4</v>
      </c>
      <c r="W86" s="2"/>
      <c r="X86" s="7">
        <f t="shared" si="50"/>
        <v>-126</v>
      </c>
      <c r="Y86" s="2"/>
      <c r="Z86" s="6">
        <f t="shared" si="51"/>
        <v>-1</v>
      </c>
    </row>
    <row r="87" spans="1:26" s="24" customFormat="1" hidden="1" outlineLevel="2" x14ac:dyDescent="0.25">
      <c r="A87" s="27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1.4965003270922144E-3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6.1169977986451803E-3</v>
      </c>
      <c r="S87" s="2"/>
      <c r="T87" s="7">
        <v>2800</v>
      </c>
      <c r="U87" s="2"/>
      <c r="V87" s="6">
        <f t="shared" si="49"/>
        <v>2.4612182327046679E-3</v>
      </c>
      <c r="W87" s="2"/>
      <c r="X87" s="7">
        <f t="shared" si="50"/>
        <v>1700.5900000000001</v>
      </c>
      <c r="Y87" s="2"/>
      <c r="Z87" s="6">
        <f t="shared" si="51"/>
        <v>0.60735357142857149</v>
      </c>
    </row>
    <row r="88" spans="1:26" s="28" customFormat="1" outlineLevel="1" collapsed="1" x14ac:dyDescent="0.25">
      <c r="A88" s="29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159</v>
      </c>
      <c r="E88" s="1"/>
      <c r="F88" s="5">
        <f t="shared" ref="F88:F90" si="52">IF(D$12=0,0,D88/D$12)</f>
        <v>1.8784920458266995E-3</v>
      </c>
      <c r="G88" s="1"/>
      <c r="H88" s="1">
        <f>SUM(OSRRefH22_15x_0)</f>
        <v>310</v>
      </c>
      <c r="I88" s="1"/>
      <c r="J88" s="5">
        <f t="shared" ref="J88:J90" si="53">IF(H$12=0,0,H88/H$12)</f>
        <v>1.3254717182816756E-3</v>
      </c>
      <c r="K88" s="1"/>
      <c r="L88" s="1">
        <f t="shared" ref="L88:L90" si="54">+D88-H88</f>
        <v>-151</v>
      </c>
      <c r="M88" s="1"/>
      <c r="N88" s="5">
        <f t="shared" ref="N88:N90" si="55">IF(H88=0,0,L88/H88)</f>
        <v>-0.48709677419354841</v>
      </c>
      <c r="O88" s="14"/>
      <c r="P88" s="1">
        <f>SUM(OSRRefP22_15x_0)</f>
        <v>2023</v>
      </c>
      <c r="Q88" s="1"/>
      <c r="R88" s="5">
        <f t="shared" ref="R88:R90" si="56">IF(P$12=0,0,P88/P$12)</f>
        <v>2.7495698445446485E-3</v>
      </c>
      <c r="S88" s="1"/>
      <c r="T88" s="1">
        <f>SUM(OSRRefT22_15x_0)</f>
        <v>2480</v>
      </c>
      <c r="U88" s="1"/>
      <c r="V88" s="5">
        <f t="shared" ref="V88:V90" si="57">IF(T$12=0,0,T88/T$12)</f>
        <v>2.1799361489669915E-3</v>
      </c>
      <c r="W88" s="1"/>
      <c r="X88" s="1">
        <f t="shared" ref="X88:X90" si="58">+P88-T88</f>
        <v>-457</v>
      </c>
      <c r="Y88" s="1"/>
      <c r="Z88" s="5">
        <f t="shared" ref="Z88:Z90" si="59">IF(T88=0,0,X88/T88)</f>
        <v>-0.18427419354838709</v>
      </c>
    </row>
    <row r="89" spans="1:26" s="24" customFormat="1" hidden="1" outlineLevel="2" x14ac:dyDescent="0.25">
      <c r="A89" s="27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1.3254717182816756E-3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2480</v>
      </c>
      <c r="U89" s="2"/>
      <c r="V89" s="6">
        <f t="shared" si="57"/>
        <v>2.1799361489669915E-3</v>
      </c>
      <c r="W89" s="2"/>
      <c r="X89" s="7">
        <f t="shared" si="58"/>
        <v>-2480</v>
      </c>
      <c r="Y89" s="2"/>
      <c r="Z89" s="6">
        <f t="shared" si="59"/>
        <v>-1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7">
        <v>159</v>
      </c>
      <c r="E90" s="2"/>
      <c r="F90" s="6">
        <f t="shared" si="52"/>
        <v>1.8784920458266995E-3</v>
      </c>
      <c r="G90" s="2"/>
      <c r="H90" s="7"/>
      <c r="I90" s="2"/>
      <c r="J90" s="6">
        <f t="shared" si="53"/>
        <v>0</v>
      </c>
      <c r="K90" s="2"/>
      <c r="L90" s="7">
        <f t="shared" si="54"/>
        <v>159</v>
      </c>
      <c r="M90" s="2"/>
      <c r="N90" s="6">
        <f t="shared" si="55"/>
        <v>0</v>
      </c>
      <c r="O90" s="11"/>
      <c r="P90" s="7">
        <v>2023</v>
      </c>
      <c r="Q90" s="2"/>
      <c r="R90" s="6">
        <f t="shared" si="56"/>
        <v>2.7495698445446485E-3</v>
      </c>
      <c r="S90" s="2"/>
      <c r="T90" s="7"/>
      <c r="U90" s="2"/>
      <c r="V90" s="6">
        <f t="shared" si="57"/>
        <v>0</v>
      </c>
      <c r="W90" s="2"/>
      <c r="X90" s="7">
        <f t="shared" si="58"/>
        <v>2023</v>
      </c>
      <c r="Y90" s="2"/>
      <c r="Z90" s="6">
        <f t="shared" si="59"/>
        <v>0</v>
      </c>
    </row>
    <row r="91" spans="1:26" s="28" customFormat="1" outlineLevel="1" collapsed="1" x14ac:dyDescent="0.25">
      <c r="A91" s="29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0</v>
      </c>
      <c r="E91" s="1"/>
      <c r="F91" s="5">
        <f t="shared" ref="F91:F92" si="60">IF(D$12=0,0,D91/D$12)</f>
        <v>0</v>
      </c>
      <c r="G91" s="1"/>
      <c r="H91" s="1">
        <f>SUM(OSRRefH22_16x_0)</f>
        <v>350</v>
      </c>
      <c r="I91" s="1"/>
      <c r="J91" s="5">
        <f t="shared" ref="J91:J92" si="61">IF(H$12=0,0,H91/H$12)</f>
        <v>1.4965003270922144E-3</v>
      </c>
      <c r="K91" s="1"/>
      <c r="L91" s="1">
        <f t="shared" ref="L91:L92" si="62">+D91-H91</f>
        <v>-350</v>
      </c>
      <c r="M91" s="1"/>
      <c r="N91" s="5">
        <f t="shared" ref="N91:N92" si="63">IF(H91=0,0,L91/H91)</f>
        <v>-1</v>
      </c>
      <c r="O91" s="14"/>
      <c r="P91" s="1">
        <f>SUM(OSRRefP22_16x_0)</f>
        <v>735</v>
      </c>
      <c r="Q91" s="1"/>
      <c r="R91" s="5">
        <f t="shared" ref="R91:R92" si="64">IF(P$12=0,0,P91/P$12)</f>
        <v>9.9897866324286533E-4</v>
      </c>
      <c r="S91" s="1"/>
      <c r="T91" s="1">
        <f>SUM(OSRRefT22_16x_0)</f>
        <v>2450</v>
      </c>
      <c r="U91" s="1"/>
      <c r="V91" s="5">
        <f t="shared" ref="V91:V92" si="65">IF(T$12=0,0,T91/T$12)</f>
        <v>2.1535659536165842E-3</v>
      </c>
      <c r="W91" s="1"/>
      <c r="X91" s="1">
        <f t="shared" ref="X91:X92" si="66">+P91-T91</f>
        <v>-1715</v>
      </c>
      <c r="Y91" s="1"/>
      <c r="Z91" s="5">
        <f t="shared" ref="Z91:Z92" si="67">IF(T91=0,0,X91/T91)</f>
        <v>-0.7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1.4965003270922144E-3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9.9897866324286533E-4</v>
      </c>
      <c r="S92" s="2"/>
      <c r="T92" s="7">
        <v>2450</v>
      </c>
      <c r="U92" s="2"/>
      <c r="V92" s="6">
        <f t="shared" si="65"/>
        <v>2.1535659536165842E-3</v>
      </c>
      <c r="W92" s="2"/>
      <c r="X92" s="7">
        <f t="shared" si="66"/>
        <v>-1715</v>
      </c>
      <c r="Y92" s="2"/>
      <c r="Z92" s="6">
        <f t="shared" si="67"/>
        <v>-0.7</v>
      </c>
    </row>
    <row r="93" spans="1:26" s="58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6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5" t="s">
        <v>3</v>
      </c>
      <c r="C96" s="25"/>
      <c r="D96" s="19">
        <f>+D23-D25+D94</f>
        <v>-68007.880000000034</v>
      </c>
      <c r="E96" s="13"/>
      <c r="F96" s="21">
        <f>IF(D$12=0,0,D96/D$12)</f>
        <v>-0.80347334360714939</v>
      </c>
      <c r="G96" s="13"/>
      <c r="H96" s="19">
        <f>+H23-H25+H94</f>
        <v>44100.450972230698</v>
      </c>
      <c r="I96" s="13"/>
      <c r="J96" s="21">
        <f>IF(H$12=0,0,H96/H$12)</f>
        <v>0.18856096944244971</v>
      </c>
      <c r="K96" s="15"/>
      <c r="L96" s="19">
        <f>+D96-H96</f>
        <v>-112108.33097223073</v>
      </c>
      <c r="M96" s="15"/>
      <c r="N96" s="21">
        <f>IF(H96=0,0,L96/H96)</f>
        <v>-2.5421130283412166</v>
      </c>
      <c r="O96" s="26"/>
      <c r="P96" s="19">
        <f>+P23-P25+P94</f>
        <v>-483346.31000000029</v>
      </c>
      <c r="Q96" s="13"/>
      <c r="R96" s="21">
        <f>IF(P$12=0,0,P96/P$12)</f>
        <v>-0.656942381832887</v>
      </c>
      <c r="S96" s="13"/>
      <c r="T96" s="19">
        <f>+T23-T25+T94</f>
        <v>-174057.61236398097</v>
      </c>
      <c r="U96" s="13"/>
      <c r="V96" s="21">
        <f>IF(T$12=0,0,T96/T$12)</f>
        <v>-0.15299777467545406</v>
      </c>
      <c r="W96" s="15"/>
      <c r="X96" s="19">
        <f>+P96-T96</f>
        <v>-309288.69763601932</v>
      </c>
      <c r="Y96" s="15"/>
      <c r="Z96" s="21">
        <f>IF(T96=0,0,X96/T96)</f>
        <v>1.7769328984546195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27511.58</v>
      </c>
      <c r="E98" s="4"/>
      <c r="F98" s="12">
        <f>IF(D$12=0,0,D98/D$12)</f>
        <v>0.32503323395047118</v>
      </c>
      <c r="G98" s="4"/>
      <c r="H98" s="4">
        <v>38810</v>
      </c>
      <c r="I98" s="4"/>
      <c r="J98" s="12">
        <f>IF(H$12=0,0,H98/H$12)</f>
        <v>0.16594050769842525</v>
      </c>
      <c r="K98" s="4"/>
      <c r="L98" s="4">
        <f>+D98-H98</f>
        <v>-11298.419999999998</v>
      </c>
      <c r="M98" s="4"/>
      <c r="N98" s="12">
        <f>IF(H98=0,0,L98/H98)</f>
        <v>-0.29112136047410458</v>
      </c>
      <c r="O98" s="10"/>
      <c r="P98" s="4">
        <v>145705.10999999999</v>
      </c>
      <c r="Q98" s="4"/>
      <c r="R98" s="12">
        <f>IF(P$12=0,0,P98/P$12)</f>
        <v>0.19803577689177504</v>
      </c>
      <c r="S98" s="4"/>
      <c r="T98" s="4">
        <v>195652</v>
      </c>
      <c r="U98" s="4"/>
      <c r="V98" s="12">
        <f>IF(T$12=0,0,T98/T$12)</f>
        <v>0.17197938202326202</v>
      </c>
      <c r="W98" s="4"/>
      <c r="X98" s="4">
        <f>+P98-T98</f>
        <v>-49946.890000000014</v>
      </c>
      <c r="Y98" s="4"/>
      <c r="Z98" s="12">
        <f>IF(T98=0,0,X98/T98)</f>
        <v>-0.25528433136385015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4</v>
      </c>
      <c r="C100" s="25"/>
      <c r="D100" s="34">
        <f>+D96-D98</f>
        <v>-95519.460000000036</v>
      </c>
      <c r="E100" s="13"/>
      <c r="F100" s="30">
        <f>IF(D$12=0,0,D100/D$12)</f>
        <v>-1.1285065775576204</v>
      </c>
      <c r="G100" s="13"/>
      <c r="H100" s="34">
        <f>+H96-H98</f>
        <v>5290.4509722306975</v>
      </c>
      <c r="I100" s="13"/>
      <c r="J100" s="30">
        <f>IF(H$12=0,0,H100/H$12)</f>
        <v>2.2620461744024465E-2</v>
      </c>
      <c r="K100" s="15"/>
      <c r="L100" s="34">
        <f>D100-H100</f>
        <v>-100809.91097223073</v>
      </c>
      <c r="M100" s="15"/>
      <c r="N100" s="30">
        <f>IF(H100=0,0,L100/H100)</f>
        <v>-19.055069501896288</v>
      </c>
      <c r="O100" s="26"/>
      <c r="P100" s="34">
        <f>+P96-P98</f>
        <v>-629051.42000000027</v>
      </c>
      <c r="Q100" s="13"/>
      <c r="R100" s="30">
        <f>IF(P$12=0,0,P100/P$12)</f>
        <v>-0.85497815872466199</v>
      </c>
      <c r="S100" s="13"/>
      <c r="T100" s="34">
        <f>+T96-T98</f>
        <v>-369709.61236398097</v>
      </c>
      <c r="U100" s="13"/>
      <c r="V100" s="30">
        <f>IF(T$12=0,0,T100/T$12)</f>
        <v>-0.32497715669871607</v>
      </c>
      <c r="W100" s="15"/>
      <c r="X100" s="34">
        <f>P100-T100</f>
        <v>-259341.80763601931</v>
      </c>
      <c r="Y100" s="15"/>
      <c r="Z100" s="30">
        <f>IF(T100=0,0,X100/T100)</f>
        <v>0.70147434354694571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5</v>
      </c>
      <c r="C103" s="25"/>
      <c r="D103" s="35">
        <f>SUM(D100:D102)</f>
        <v>-95519.460000000036</v>
      </c>
      <c r="E103" s="13"/>
      <c r="F103" s="31">
        <f>IF(D$12=0,0,D103/D$12)</f>
        <v>-1.1285065775576204</v>
      </c>
      <c r="G103" s="13"/>
      <c r="H103" s="35">
        <f>SUM(H100:H102)</f>
        <v>5290.4509722306975</v>
      </c>
      <c r="I103" s="13"/>
      <c r="J103" s="31">
        <f>IF(H$12=0,0,H103/H$12)</f>
        <v>2.2620461744024465E-2</v>
      </c>
      <c r="K103" s="15"/>
      <c r="L103" s="35">
        <f>+D103-H103</f>
        <v>-100809.91097223073</v>
      </c>
      <c r="M103" s="15"/>
      <c r="N103" s="31">
        <f>IF(H103=0,0,L103/H103)</f>
        <v>-19.055069501896288</v>
      </c>
      <c r="O103" s="26"/>
      <c r="P103" s="35">
        <f>SUM(P100:P102)</f>
        <v>-629051.42000000027</v>
      </c>
      <c r="Q103" s="13"/>
      <c r="R103" s="31">
        <f>IF(P$12=0,0,P103/P$12)</f>
        <v>-0.85497815872466199</v>
      </c>
      <c r="S103" s="13"/>
      <c r="T103" s="35">
        <f>SUM(T100:T102)</f>
        <v>-369709.61236398097</v>
      </c>
      <c r="U103" s="13"/>
      <c r="V103" s="31">
        <f>IF(T$12=0,0,T103/T$12)</f>
        <v>-0.32497715669871607</v>
      </c>
      <c r="W103" s="15"/>
      <c r="X103" s="35">
        <f>+P103-T103</f>
        <v>-259341.80763601931</v>
      </c>
      <c r="Y103" s="15"/>
      <c r="Z103" s="31">
        <f>IF(T103=0,0,X103/T103)</f>
        <v>0.70147434354694571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3">
        <v>44267.67227653935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62" t="s">
        <v>314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7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","445", " - ", "Central Park Coffee House")</f>
        <v>Department 445 - Central Park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19">
        <f>D12-D14</f>
        <v>0</v>
      </c>
      <c r="E16" s="13"/>
      <c r="F16" s="21">
        <f>IF(D$12=0,0,D16/D$12)</f>
        <v>0</v>
      </c>
      <c r="G16" s="13"/>
      <c r="H16" s="19">
        <f>H12-H14</f>
        <v>0</v>
      </c>
      <c r="I16" s="13"/>
      <c r="J16" s="21">
        <f>IF(H$12=0,0,H16/H$12)</f>
        <v>0</v>
      </c>
      <c r="K16" s="15"/>
      <c r="L16" s="19">
        <f>+D16-H16</f>
        <v>0</v>
      </c>
      <c r="M16" s="15"/>
      <c r="N16" s="21">
        <f>IF(H16=0,0,L16/H16)</f>
        <v>0</v>
      </c>
      <c r="O16" s="26"/>
      <c r="P16" s="19">
        <f>P12-P14</f>
        <v>0</v>
      </c>
      <c r="Q16" s="13"/>
      <c r="R16" s="21">
        <f>IF(P$12=0,0,P16/P$12)</f>
        <v>0</v>
      </c>
      <c r="S16" s="13"/>
      <c r="T16" s="19">
        <f>T12-T14</f>
        <v>0</v>
      </c>
      <c r="U16" s="13"/>
      <c r="V16" s="21">
        <f>IF(T$12=0,0,T16/T$12)</f>
        <v>0</v>
      </c>
      <c r="W16" s="15"/>
      <c r="X16" s="19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19">
        <f>+D16-D18+D20</f>
        <v>0</v>
      </c>
      <c r="E22" s="13"/>
      <c r="F22" s="21">
        <f>IF(D$12=0,0,D22/D$12)</f>
        <v>0</v>
      </c>
      <c r="G22" s="13"/>
      <c r="H22" s="19">
        <f>+H16-H18+H20</f>
        <v>0</v>
      </c>
      <c r="I22" s="13"/>
      <c r="J22" s="21">
        <f>IF(H$12=0,0,H22/H$12)</f>
        <v>0</v>
      </c>
      <c r="K22" s="15"/>
      <c r="L22" s="19">
        <f>+D22-H22</f>
        <v>0</v>
      </c>
      <c r="M22" s="15"/>
      <c r="N22" s="21">
        <f>IF(H22=0,0,L22/H22)</f>
        <v>0</v>
      </c>
      <c r="O22" s="26"/>
      <c r="P22" s="19">
        <f>+P16-P18+P20</f>
        <v>0</v>
      </c>
      <c r="Q22" s="13"/>
      <c r="R22" s="21">
        <f>IF(P$12=0,0,P22/P$12)</f>
        <v>0</v>
      </c>
      <c r="S22" s="13"/>
      <c r="T22" s="19">
        <f>+T16-T18+T20</f>
        <v>0</v>
      </c>
      <c r="U22" s="13"/>
      <c r="V22" s="21">
        <f>IF(T$12=0,0,T22/T$12)</f>
        <v>0</v>
      </c>
      <c r="W22" s="15"/>
      <c r="X22" s="19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0">
        <f>IF(D$12=0,0,D26/D$12)</f>
        <v>0</v>
      </c>
      <c r="G26" s="13"/>
      <c r="H26" s="34">
        <f>+H22-H24</f>
        <v>0</v>
      </c>
      <c r="I26" s="13"/>
      <c r="J26" s="30">
        <f>IF(H$12=0,0,H26/H$12)</f>
        <v>0</v>
      </c>
      <c r="K26" s="15"/>
      <c r="L26" s="34">
        <f>D26-H26</f>
        <v>0</v>
      </c>
      <c r="M26" s="15"/>
      <c r="N26" s="30">
        <f>IF(H26=0,0,L26/H26)</f>
        <v>0</v>
      </c>
      <c r="O26" s="26"/>
      <c r="P26" s="34">
        <f>+P22-P24</f>
        <v>0</v>
      </c>
      <c r="Q26" s="13"/>
      <c r="R26" s="30">
        <f>IF(P$12=0,0,P26/P$12)</f>
        <v>0</v>
      </c>
      <c r="S26" s="13"/>
      <c r="T26" s="34">
        <f>+T22-T24</f>
        <v>0</v>
      </c>
      <c r="U26" s="13"/>
      <c r="V26" s="30">
        <f>IF(T$12=0,0,T26/T$12)</f>
        <v>0</v>
      </c>
      <c r="W26" s="15"/>
      <c r="X26" s="34">
        <f>P26-T26</f>
        <v>0</v>
      </c>
      <c r="Y26" s="15"/>
      <c r="Z26" s="30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5</v>
      </c>
      <c r="C29" s="25"/>
      <c r="D29" s="35">
        <f>SUM(D26:D28)</f>
        <v>0</v>
      </c>
      <c r="E29" s="13"/>
      <c r="F29" s="31">
        <f>IF(D$12=0,0,D29/D$12)</f>
        <v>0</v>
      </c>
      <c r="G29" s="13"/>
      <c r="H29" s="35">
        <f>SUM(H26:H28)</f>
        <v>0</v>
      </c>
      <c r="I29" s="13"/>
      <c r="J29" s="31">
        <f>IF(H$12=0,0,H29/H$12)</f>
        <v>0</v>
      </c>
      <c r="K29" s="15"/>
      <c r="L29" s="35">
        <f>+D29-H29</f>
        <v>0</v>
      </c>
      <c r="M29" s="15"/>
      <c r="N29" s="31">
        <f>IF(H29=0,0,L29/H29)</f>
        <v>0</v>
      </c>
      <c r="O29" s="26"/>
      <c r="P29" s="35">
        <f>SUM(P26:P28)</f>
        <v>0</v>
      </c>
      <c r="Q29" s="13"/>
      <c r="R29" s="31">
        <f>IF(P$12=0,0,P29/P$12)</f>
        <v>0</v>
      </c>
      <c r="S29" s="13"/>
      <c r="T29" s="35">
        <f>SUM(T26:T28)</f>
        <v>0</v>
      </c>
      <c r="U29" s="13"/>
      <c r="V29" s="31">
        <f>IF(T$12=0,0,T29/T$12)</f>
        <v>0</v>
      </c>
      <c r="W29" s="15"/>
      <c r="X29" s="35">
        <f>+P29-T29</f>
        <v>0</v>
      </c>
      <c r="Y29" s="15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3">
        <v>44267.672289814815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62" t="s">
        <v>314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7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85558</v>
      </c>
      <c r="I12" s="4"/>
      <c r="J12" s="12"/>
      <c r="K12" s="4"/>
      <c r="L12" s="4">
        <f t="shared" ref="L12:L14" si="0">+D12-H12</f>
        <v>-85558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391491</v>
      </c>
      <c r="U12" s="4"/>
      <c r="V12" s="12"/>
      <c r="W12" s="4"/>
      <c r="X12" s="4">
        <f t="shared" ref="X12:X14" si="2">+P12-T12</f>
        <v>-391491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85558</v>
      </c>
      <c r="I13" s="2"/>
      <c r="J13" s="22"/>
      <c r="K13" s="2"/>
      <c r="L13" s="2">
        <f t="shared" si="0"/>
        <v>-85558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391491</v>
      </c>
      <c r="U13" s="2"/>
      <c r="V13" s="22"/>
      <c r="W13" s="2"/>
      <c r="X13" s="2">
        <f t="shared" si="2"/>
        <v>-391491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/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23956</v>
      </c>
      <c r="I16" s="4"/>
      <c r="J16" s="12">
        <f t="shared" ref="J16:J17" si="7">IF(H$12=0,0,H16/H$12)</f>
        <v>0.27999719488534092</v>
      </c>
      <c r="K16" s="4"/>
      <c r="L16" s="4">
        <f t="shared" ref="L16:L17" si="8">+D16-H16</f>
        <v>-23956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106905</v>
      </c>
      <c r="U16" s="4"/>
      <c r="V16" s="12">
        <f t="shared" ref="V16:V17" si="11">IF(T$12=0,0,T16/T$12)</f>
        <v>0.27307141160333187</v>
      </c>
      <c r="W16" s="4"/>
      <c r="X16" s="4">
        <f t="shared" ref="X16:X17" si="12">+P16-T16</f>
        <v>-106905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23956</v>
      </c>
      <c r="I17" s="2"/>
      <c r="J17" s="22">
        <f t="shared" si="7"/>
        <v>0.27999719488534092</v>
      </c>
      <c r="K17" s="2"/>
      <c r="L17" s="2">
        <f t="shared" si="8"/>
        <v>-23956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106905</v>
      </c>
      <c r="U17" s="2"/>
      <c r="V17" s="22">
        <f t="shared" si="11"/>
        <v>0.27307141160333187</v>
      </c>
      <c r="W17" s="2"/>
      <c r="X17" s="2">
        <f t="shared" si="12"/>
        <v>-106905</v>
      </c>
      <c r="Y17" s="2"/>
      <c r="Z17" s="22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19">
        <f>D12-D16</f>
        <v>0</v>
      </c>
      <c r="E19" s="13"/>
      <c r="F19" s="21">
        <f>IF(D$12=0,0,D19/D$12)</f>
        <v>0</v>
      </c>
      <c r="G19" s="13"/>
      <c r="H19" s="19">
        <f>H12-H16</f>
        <v>61602</v>
      </c>
      <c r="I19" s="13"/>
      <c r="J19" s="21">
        <f>IF(H$12=0,0,H19/H$12)</f>
        <v>0.72000280511465908</v>
      </c>
      <c r="K19" s="15"/>
      <c r="L19" s="19">
        <f>+D19-H19</f>
        <v>-61602</v>
      </c>
      <c r="M19" s="15"/>
      <c r="N19" s="21">
        <f>IF(H19=0,0,L19/H19)</f>
        <v>-1</v>
      </c>
      <c r="O19" s="26"/>
      <c r="P19" s="19">
        <f>P12-P16</f>
        <v>0</v>
      </c>
      <c r="Q19" s="13"/>
      <c r="R19" s="21">
        <f>IF(P$12=0,0,P19/P$12)</f>
        <v>0</v>
      </c>
      <c r="S19" s="13"/>
      <c r="T19" s="19">
        <f>T12-T16</f>
        <v>284586</v>
      </c>
      <c r="U19" s="13"/>
      <c r="V19" s="21">
        <f>IF(T$12=0,0,T19/T$12)</f>
        <v>0.72692858839666807</v>
      </c>
      <c r="W19" s="15"/>
      <c r="X19" s="19">
        <f>+P19-T19</f>
        <v>-284586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37497.520000000004</v>
      </c>
      <c r="E21" s="20"/>
      <c r="F21" s="33">
        <f t="shared" ref="F21:F32" si="14">IF(D$12=0,0,D21/D$12)</f>
        <v>0</v>
      </c>
      <c r="G21" s="20"/>
      <c r="H21" s="20">
        <f>SUM(OSRRefH22x_0)</f>
        <v>92359.714826837662</v>
      </c>
      <c r="I21" s="20"/>
      <c r="J21" s="33">
        <f t="shared" ref="J21:J32" si="15">IF(H$12=0,0,H21/H$12)</f>
        <v>1.0794982915313316</v>
      </c>
      <c r="K21" s="4"/>
      <c r="L21" s="20">
        <f t="shared" ref="L21:L32" si="16">+D21-H21</f>
        <v>-54862.194826837658</v>
      </c>
      <c r="M21" s="4"/>
      <c r="N21" s="33">
        <f t="shared" ref="N21:N32" si="17">IF(H21=0,0,L21/H21)</f>
        <v>-0.59400567584792863</v>
      </c>
      <c r="O21" s="10"/>
      <c r="P21" s="20">
        <f>SUM(OSRRefP22x_0)</f>
        <v>327584.5199999999</v>
      </c>
      <c r="Q21" s="20"/>
      <c r="R21" s="33">
        <f t="shared" ref="R21:R32" si="18">IF(P$12=0,0,P21/P$12)</f>
        <v>0</v>
      </c>
      <c r="S21" s="20"/>
      <c r="T21" s="20">
        <f>SUM(OSRRefT22x_0)</f>
        <v>735470.65321139188</v>
      </c>
      <c r="U21" s="20"/>
      <c r="V21" s="33">
        <f t="shared" ref="V21:V32" si="19">IF(T$12=0,0,T21/T$12)</f>
        <v>1.8786400024812624</v>
      </c>
      <c r="W21" s="4"/>
      <c r="X21" s="20">
        <f t="shared" ref="X21:X32" si="20">+P21-T21</f>
        <v>-407886.13321139198</v>
      </c>
      <c r="Y21" s="4"/>
      <c r="Z21" s="33">
        <f t="shared" ref="Z21:Z32" si="21">IF(T21=0,0,X21/T21)</f>
        <v>-0.55459199008196969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19163.940000000002</v>
      </c>
      <c r="E22" s="1"/>
      <c r="F22" s="5">
        <f t="shared" si="14"/>
        <v>0</v>
      </c>
      <c r="G22" s="1"/>
      <c r="H22" s="1">
        <f>SUM(OSRRefH22_0x_0)</f>
        <v>28176.475493376118</v>
      </c>
      <c r="I22" s="1"/>
      <c r="J22" s="5">
        <f t="shared" si="15"/>
        <v>0.32932601852984078</v>
      </c>
      <c r="K22" s="1"/>
      <c r="L22" s="1">
        <f t="shared" si="16"/>
        <v>-9012.5354933761155</v>
      </c>
      <c r="M22" s="1"/>
      <c r="N22" s="5">
        <f t="shared" si="17"/>
        <v>-0.31986028541770006</v>
      </c>
      <c r="O22" s="14"/>
      <c r="P22" s="1">
        <f>SUM(OSRRefP22_0x_0)</f>
        <v>155609.54999999996</v>
      </c>
      <c r="Q22" s="1"/>
      <c r="R22" s="5">
        <f t="shared" si="18"/>
        <v>0</v>
      </c>
      <c r="S22" s="1"/>
      <c r="T22" s="1">
        <f>SUM(OSRRefT22_0x_0)</f>
        <v>242285.42544985359</v>
      </c>
      <c r="U22" s="1"/>
      <c r="V22" s="5">
        <f t="shared" si="19"/>
        <v>0.61887865991773394</v>
      </c>
      <c r="W22" s="1"/>
      <c r="X22" s="1">
        <f t="shared" si="20"/>
        <v>-86675.875449853629</v>
      </c>
      <c r="Y22" s="1"/>
      <c r="Z22" s="5">
        <f t="shared" si="21"/>
        <v>-0.35774283694085901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>
        <v>1547.59</v>
      </c>
      <c r="E23" s="2"/>
      <c r="F23" s="6">
        <f t="shared" si="14"/>
        <v>0</v>
      </c>
      <c r="G23" s="2"/>
      <c r="H23" s="7">
        <v>2637.7353029723099</v>
      </c>
      <c r="I23" s="2"/>
      <c r="J23" s="6">
        <f t="shared" si="15"/>
        <v>3.0829791521217301E-2</v>
      </c>
      <c r="K23" s="2"/>
      <c r="L23" s="7">
        <f t="shared" si="16"/>
        <v>-1090.14530297231</v>
      </c>
      <c r="M23" s="2"/>
      <c r="N23" s="6">
        <f t="shared" si="17"/>
        <v>-0.41328836208238517</v>
      </c>
      <c r="O23" s="11"/>
      <c r="P23" s="7">
        <v>13412.49</v>
      </c>
      <c r="Q23" s="2"/>
      <c r="R23" s="6">
        <f t="shared" si="18"/>
        <v>0</v>
      </c>
      <c r="S23" s="2"/>
      <c r="T23" s="7">
        <v>23443.701401007689</v>
      </c>
      <c r="U23" s="2"/>
      <c r="V23" s="6">
        <f t="shared" si="19"/>
        <v>5.9883117111268688E-2</v>
      </c>
      <c r="W23" s="2"/>
      <c r="X23" s="7">
        <f t="shared" si="20"/>
        <v>-10031.211401007689</v>
      </c>
      <c r="Y23" s="2"/>
      <c r="Z23" s="6">
        <f t="shared" si="21"/>
        <v>-0.42788513765051256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>
        <v>901.85</v>
      </c>
      <c r="E24" s="2"/>
      <c r="F24" s="6">
        <f t="shared" si="14"/>
        <v>0</v>
      </c>
      <c r="G24" s="2"/>
      <c r="H24" s="7">
        <v>1925.4751741499999</v>
      </c>
      <c r="I24" s="2"/>
      <c r="J24" s="6">
        <f t="shared" si="15"/>
        <v>2.2504910986114682E-2</v>
      </c>
      <c r="K24" s="2"/>
      <c r="L24" s="7">
        <f t="shared" si="16"/>
        <v>-1023.6251741499999</v>
      </c>
      <c r="M24" s="2"/>
      <c r="N24" s="6">
        <f t="shared" si="17"/>
        <v>-0.53162210964463807</v>
      </c>
      <c r="O24" s="11"/>
      <c r="P24" s="7">
        <v>7459.57</v>
      </c>
      <c r="Q24" s="2"/>
      <c r="R24" s="6">
        <f t="shared" si="18"/>
        <v>0</v>
      </c>
      <c r="S24" s="2"/>
      <c r="T24" s="7">
        <v>15909.078141000002</v>
      </c>
      <c r="U24" s="2"/>
      <c r="V24" s="6">
        <f t="shared" si="19"/>
        <v>4.0637149106876026E-2</v>
      </c>
      <c r="W24" s="2"/>
      <c r="X24" s="7">
        <f t="shared" si="20"/>
        <v>-8449.5081410000021</v>
      </c>
      <c r="Y24" s="2"/>
      <c r="Z24" s="6">
        <f t="shared" si="21"/>
        <v>-0.53111236654400451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>
        <v>12477.88</v>
      </c>
      <c r="E25" s="2"/>
      <c r="F25" s="6">
        <f t="shared" si="14"/>
        <v>0</v>
      </c>
      <c r="G25" s="2"/>
      <c r="H25" s="7">
        <v>19310.769230769198</v>
      </c>
      <c r="I25" s="2"/>
      <c r="J25" s="6">
        <f t="shared" si="15"/>
        <v>0.22570384102911706</v>
      </c>
      <c r="K25" s="2"/>
      <c r="L25" s="7">
        <f t="shared" si="16"/>
        <v>-6832.8892307691985</v>
      </c>
      <c r="M25" s="2"/>
      <c r="N25" s="6">
        <f t="shared" si="17"/>
        <v>-0.35383827278521246</v>
      </c>
      <c r="O25" s="11"/>
      <c r="P25" s="7">
        <v>100657.37999999999</v>
      </c>
      <c r="Q25" s="2"/>
      <c r="R25" s="6">
        <f t="shared" si="18"/>
        <v>0</v>
      </c>
      <c r="S25" s="2"/>
      <c r="T25" s="7">
        <v>165999.23076923052</v>
      </c>
      <c r="U25" s="2"/>
      <c r="V25" s="6">
        <f t="shared" si="19"/>
        <v>0.42401799982433958</v>
      </c>
      <c r="W25" s="2"/>
      <c r="X25" s="7">
        <f t="shared" si="20"/>
        <v>-65341.850769230528</v>
      </c>
      <c r="Y25" s="2"/>
      <c r="Z25" s="6">
        <f t="shared" si="21"/>
        <v>-0.39362743108170017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>
        <v>54.66</v>
      </c>
      <c r="E26" s="2"/>
      <c r="F26" s="6">
        <f t="shared" si="14"/>
        <v>0</v>
      </c>
      <c r="G26" s="2"/>
      <c r="H26" s="7">
        <v>116.69546510000001</v>
      </c>
      <c r="I26" s="2"/>
      <c r="J26" s="6">
        <f t="shared" si="15"/>
        <v>1.3639339991584657E-3</v>
      </c>
      <c r="K26" s="2"/>
      <c r="L26" s="7">
        <f t="shared" si="16"/>
        <v>-62.03546510000001</v>
      </c>
      <c r="M26" s="2"/>
      <c r="N26" s="6">
        <f t="shared" si="17"/>
        <v>-0.53160133555181321</v>
      </c>
      <c r="O26" s="11"/>
      <c r="P26" s="7">
        <v>460.76</v>
      </c>
      <c r="Q26" s="2"/>
      <c r="R26" s="6">
        <f t="shared" si="18"/>
        <v>0</v>
      </c>
      <c r="S26" s="2"/>
      <c r="T26" s="7">
        <v>964.186554</v>
      </c>
      <c r="U26" s="2"/>
      <c r="V26" s="6">
        <f t="shared" si="19"/>
        <v>2.4628575216288496E-3</v>
      </c>
      <c r="W26" s="2"/>
      <c r="X26" s="7">
        <f t="shared" si="20"/>
        <v>-503.42655400000001</v>
      </c>
      <c r="Y26" s="2"/>
      <c r="Z26" s="6">
        <f t="shared" si="21"/>
        <v>-0.52212567361730711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>
        <v>494.19</v>
      </c>
      <c r="E27" s="2"/>
      <c r="F27" s="6">
        <f t="shared" si="14"/>
        <v>0</v>
      </c>
      <c r="G27" s="2"/>
      <c r="H27" s="7">
        <v>808.168461538462</v>
      </c>
      <c r="I27" s="2"/>
      <c r="J27" s="6">
        <f t="shared" si="15"/>
        <v>9.4458549935536353E-3</v>
      </c>
      <c r="K27" s="2"/>
      <c r="L27" s="7">
        <f t="shared" si="16"/>
        <v>-313.978461538462</v>
      </c>
      <c r="M27" s="2"/>
      <c r="N27" s="6">
        <f t="shared" si="17"/>
        <v>-0.38850620443757478</v>
      </c>
      <c r="O27" s="11"/>
      <c r="P27" s="7">
        <v>4502.09</v>
      </c>
      <c r="Q27" s="2"/>
      <c r="R27" s="6">
        <f t="shared" si="18"/>
        <v>0</v>
      </c>
      <c r="S27" s="2"/>
      <c r="T27" s="7">
        <v>7071.4740384615498</v>
      </c>
      <c r="U27" s="2"/>
      <c r="V27" s="6">
        <f t="shared" si="19"/>
        <v>1.8062928747944525E-2</v>
      </c>
      <c r="W27" s="2"/>
      <c r="X27" s="7">
        <f t="shared" si="20"/>
        <v>-2569.3840384615496</v>
      </c>
      <c r="Y27" s="2"/>
      <c r="Z27" s="6">
        <f t="shared" si="21"/>
        <v>-0.36334490157027255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"6117", " - ", "RETIREMENT STAFF HOURLY")</f>
        <v xml:space="preserve">          6117 - RETIREMENT STAFF HOURLY</v>
      </c>
      <c r="C29" s="11"/>
      <c r="D29" s="7">
        <v>585.27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585.27</v>
      </c>
      <c r="M29" s="2"/>
      <c r="N29" s="6">
        <f t="shared" si="17"/>
        <v>0</v>
      </c>
      <c r="O29" s="11"/>
      <c r="P29" s="7">
        <v>4585.0600000000004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4585.0600000000004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"6118", " - ", "VACATION")</f>
        <v xml:space="preserve">          6118 - VACATION</v>
      </c>
      <c r="C30" s="11"/>
      <c r="D30" s="7">
        <v>1248.1600000000001</v>
      </c>
      <c r="E30" s="2"/>
      <c r="F30" s="6">
        <f t="shared" si="14"/>
        <v>0</v>
      </c>
      <c r="G30" s="2"/>
      <c r="H30" s="7">
        <v>1943.1995692307701</v>
      </c>
      <c r="I30" s="2"/>
      <c r="J30" s="6">
        <f t="shared" si="15"/>
        <v>2.2712073321381636E-2</v>
      </c>
      <c r="K30" s="2"/>
      <c r="L30" s="7">
        <f t="shared" si="16"/>
        <v>-695.03956923076998</v>
      </c>
      <c r="M30" s="2"/>
      <c r="N30" s="6">
        <f t="shared" si="17"/>
        <v>-0.35767791442332736</v>
      </c>
      <c r="O30" s="11"/>
      <c r="P30" s="7">
        <v>10506.37</v>
      </c>
      <c r="Q30" s="2"/>
      <c r="R30" s="6">
        <f t="shared" si="18"/>
        <v>0</v>
      </c>
      <c r="S30" s="2"/>
      <c r="T30" s="7">
        <v>17002.996230769229</v>
      </c>
      <c r="U30" s="2"/>
      <c r="V30" s="6">
        <f t="shared" si="19"/>
        <v>4.34313847081267E-2</v>
      </c>
      <c r="W30" s="2"/>
      <c r="X30" s="7">
        <f t="shared" si="20"/>
        <v>-6496.6262307692286</v>
      </c>
      <c r="Y30" s="2"/>
      <c r="Z30" s="6">
        <f t="shared" si="21"/>
        <v>-0.38208714173639008</v>
      </c>
    </row>
    <row r="31" spans="1:26" s="24" customFormat="1" hidden="1" outlineLevel="2" x14ac:dyDescent="0.25">
      <c r="A31" s="27"/>
      <c r="B31" s="11" t="str">
        <f>CONCATENATE("          ", "6119", " - ", "SICK LEAVE")</f>
        <v xml:space="preserve">          6119 - SICK LEAVE</v>
      </c>
      <c r="C31" s="11"/>
      <c r="D31" s="7">
        <v>950.34</v>
      </c>
      <c r="E31" s="2"/>
      <c r="F31" s="6">
        <f t="shared" si="14"/>
        <v>0</v>
      </c>
      <c r="G31" s="2"/>
      <c r="H31" s="7">
        <v>1434.4322896153801</v>
      </c>
      <c r="I31" s="2"/>
      <c r="J31" s="6">
        <f t="shared" si="15"/>
        <v>1.676561267929802E-2</v>
      </c>
      <c r="K31" s="2"/>
      <c r="L31" s="7">
        <f t="shared" si="16"/>
        <v>-484.09228961538008</v>
      </c>
      <c r="M31" s="2"/>
      <c r="N31" s="6">
        <f t="shared" si="17"/>
        <v>-0.33748005613090432</v>
      </c>
      <c r="O31" s="11"/>
      <c r="P31" s="7">
        <v>8053.05</v>
      </c>
      <c r="Q31" s="2"/>
      <c r="R31" s="6">
        <f t="shared" si="18"/>
        <v>0</v>
      </c>
      <c r="S31" s="2"/>
      <c r="T31" s="7">
        <v>11894.75831538459</v>
      </c>
      <c r="U31" s="2"/>
      <c r="V31" s="6">
        <f t="shared" si="19"/>
        <v>3.0383222897549599E-2</v>
      </c>
      <c r="W31" s="2"/>
      <c r="X31" s="7">
        <f t="shared" si="20"/>
        <v>-3841.7083153845897</v>
      </c>
      <c r="Y31" s="2"/>
      <c r="Z31" s="6">
        <f t="shared" si="21"/>
        <v>-0.32297489478333941</v>
      </c>
    </row>
    <row r="32" spans="1:26" s="24" customFormat="1" hidden="1" outlineLevel="2" x14ac:dyDescent="0.25">
      <c r="A32" s="27"/>
      <c r="B32" s="11" t="str">
        <f>CONCATENATE("          ", "6156", " - ", "EMPLOYEE MEALS")</f>
        <v xml:space="preserve">          6156 - EMPLOYEE MEALS</v>
      </c>
      <c r="C32" s="11"/>
      <c r="D32" s="7">
        <v>904</v>
      </c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904</v>
      </c>
      <c r="M32" s="2"/>
      <c r="N32" s="6">
        <f t="shared" si="17"/>
        <v>0</v>
      </c>
      <c r="O32" s="11"/>
      <c r="P32" s="7">
        <v>5972.78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5972.78</v>
      </c>
      <c r="Y32" s="2"/>
      <c r="Z32" s="6">
        <f t="shared" si="21"/>
        <v>0</v>
      </c>
    </row>
    <row r="33" spans="1:26" s="28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18114.66</v>
      </c>
      <c r="E33" s="1"/>
      <c r="F33" s="5">
        <f t="shared" ref="F33:F43" si="22">IF(D$12=0,0,D33/D$12)</f>
        <v>0</v>
      </c>
      <c r="G33" s="1"/>
      <c r="H33" s="1">
        <f>SUM(OSRRefH22_1x_0)</f>
        <v>41505.239333461548</v>
      </c>
      <c r="I33" s="1"/>
      <c r="J33" s="5">
        <f t="shared" ref="J33:J43" si="23">IF(H$12=0,0,H33/H$12)</f>
        <v>0.48511231367565333</v>
      </c>
      <c r="K33" s="1"/>
      <c r="L33" s="1">
        <f t="shared" ref="L33:L43" si="24">+D33-H33</f>
        <v>-23390.579333461548</v>
      </c>
      <c r="M33" s="1"/>
      <c r="N33" s="5">
        <f t="shared" ref="N33:N43" si="25">IF(H33=0,0,L33/H33)</f>
        <v>-0.56355726913262372</v>
      </c>
      <c r="O33" s="14"/>
      <c r="P33" s="1">
        <f>SUM(OSRRefP22_1x_0)</f>
        <v>163265.38</v>
      </c>
      <c r="Q33" s="1"/>
      <c r="R33" s="5">
        <f t="shared" ref="R33:R43" si="26">IF(P$12=0,0,P33/P$12)</f>
        <v>0</v>
      </c>
      <c r="S33" s="1"/>
      <c r="T33" s="1">
        <f>SUM(OSRRefT22_1x_0)</f>
        <v>341943.22776153841</v>
      </c>
      <c r="U33" s="1"/>
      <c r="V33" s="5">
        <f t="shared" ref="V33:V43" si="27">IF(T$12=0,0,T33/T$12)</f>
        <v>0.87343828532849643</v>
      </c>
      <c r="W33" s="1"/>
      <c r="X33" s="1">
        <f t="shared" ref="X33:X43" si="28">+P33-T33</f>
        <v>-178677.8477615384</v>
      </c>
      <c r="Y33" s="1"/>
      <c r="Z33" s="5">
        <f t="shared" ref="Z33:Z43" si="29">IF(T33=0,0,X33/T33)</f>
        <v>-0.52253658869402531</v>
      </c>
    </row>
    <row r="34" spans="1:26" s="24" customFormat="1" hidden="1" outlineLevel="2" x14ac:dyDescent="0.25">
      <c r="A34" s="27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>
        <v>3883</v>
      </c>
      <c r="E35" s="2"/>
      <c r="F35" s="6">
        <f t="shared" si="22"/>
        <v>0</v>
      </c>
      <c r="G35" s="2"/>
      <c r="H35" s="7">
        <v>8337.7115384615408</v>
      </c>
      <c r="I35" s="2"/>
      <c r="J35" s="6">
        <f t="shared" si="23"/>
        <v>9.74509869148594E-2</v>
      </c>
      <c r="K35" s="2"/>
      <c r="L35" s="7">
        <f t="shared" si="24"/>
        <v>-4454.7115384615408</v>
      </c>
      <c r="M35" s="2"/>
      <c r="N35" s="6">
        <f t="shared" si="25"/>
        <v>-0.53428467966445337</v>
      </c>
      <c r="O35" s="11"/>
      <c r="P35" s="7">
        <v>34477.990000000005</v>
      </c>
      <c r="Q35" s="2"/>
      <c r="R35" s="6">
        <f t="shared" si="26"/>
        <v>0</v>
      </c>
      <c r="S35" s="2"/>
      <c r="T35" s="7">
        <v>72954.975961538395</v>
      </c>
      <c r="U35" s="2"/>
      <c r="V35" s="6">
        <f t="shared" si="27"/>
        <v>0.18635160440862855</v>
      </c>
      <c r="W35" s="2"/>
      <c r="X35" s="7">
        <f t="shared" si="28"/>
        <v>-38476.98596153839</v>
      </c>
      <c r="Y35" s="2"/>
      <c r="Z35" s="6">
        <f t="shared" si="29"/>
        <v>-0.527407287226348</v>
      </c>
    </row>
    <row r="36" spans="1:26" s="24" customFormat="1" hidden="1" outlineLevel="2" x14ac:dyDescent="0.25">
      <c r="A36" s="27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"6004", " - ", "STAFF HOURLY")</f>
        <v xml:space="preserve">          6004 - STAFF HOURLY</v>
      </c>
      <c r="C37" s="11"/>
      <c r="D37" s="7">
        <v>15083.66</v>
      </c>
      <c r="E37" s="2"/>
      <c r="F37" s="6">
        <f t="shared" si="22"/>
        <v>0</v>
      </c>
      <c r="G37" s="2"/>
      <c r="H37" s="7">
        <v>23063.825919999999</v>
      </c>
      <c r="I37" s="2"/>
      <c r="J37" s="6">
        <f t="shared" si="23"/>
        <v>0.26956948409266229</v>
      </c>
      <c r="K37" s="2"/>
      <c r="L37" s="7">
        <f t="shared" si="24"/>
        <v>-7980.1659199999995</v>
      </c>
      <c r="M37" s="2"/>
      <c r="N37" s="6">
        <f t="shared" si="25"/>
        <v>-0.34600356192768211</v>
      </c>
      <c r="O37" s="11"/>
      <c r="P37" s="7">
        <v>126171.39000000001</v>
      </c>
      <c r="Q37" s="2"/>
      <c r="R37" s="6">
        <f t="shared" si="26"/>
        <v>0</v>
      </c>
      <c r="S37" s="2"/>
      <c r="T37" s="7">
        <v>201808.47679999997</v>
      </c>
      <c r="U37" s="2"/>
      <c r="V37" s="6">
        <f t="shared" si="27"/>
        <v>0.5154868867994411</v>
      </c>
      <c r="W37" s="2"/>
      <c r="X37" s="7">
        <f t="shared" si="28"/>
        <v>-75637.086799999961</v>
      </c>
      <c r="Y37" s="2"/>
      <c r="Z37" s="6">
        <f t="shared" si="29"/>
        <v>-0.37479638119938463</v>
      </c>
    </row>
    <row r="38" spans="1:26" s="24" customFormat="1" hidden="1" outlineLevel="2" x14ac:dyDescent="0.25">
      <c r="A38" s="27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3128.4318750000002</v>
      </c>
      <c r="I38" s="2"/>
      <c r="J38" s="6">
        <f t="shared" si="23"/>
        <v>3.6565042135159778E-2</v>
      </c>
      <c r="K38" s="2"/>
      <c r="L38" s="7">
        <f t="shared" si="24"/>
        <v>-3128.4318750000002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19811.522499999999</v>
      </c>
      <c r="U38" s="2"/>
      <c r="V38" s="6">
        <f t="shared" si="27"/>
        <v>5.0605307657136431E-2</v>
      </c>
      <c r="W38" s="2"/>
      <c r="X38" s="7">
        <f t="shared" si="28"/>
        <v>-19811.522499999999</v>
      </c>
      <c r="Y38" s="2"/>
      <c r="Z38" s="6">
        <f t="shared" si="29"/>
        <v>-1</v>
      </c>
    </row>
    <row r="39" spans="1:26" s="24" customFormat="1" hidden="1" outlineLevel="2" x14ac:dyDescent="0.25">
      <c r="A39" s="27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"6007", " - ", "STUDENT HOURLY")</f>
        <v xml:space="preserve">          6007 - STUDENT HOURLY</v>
      </c>
      <c r="C40" s="11"/>
      <c r="D40" s="7">
        <v>-852</v>
      </c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-852</v>
      </c>
      <c r="M40" s="2"/>
      <c r="N40" s="6">
        <f t="shared" si="25"/>
        <v>0</v>
      </c>
      <c r="O40" s="11"/>
      <c r="P40" s="7">
        <v>2616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1.1769108357535678E-2</v>
      </c>
      <c r="W40" s="2"/>
      <c r="X40" s="7">
        <f t="shared" si="28"/>
        <v>-1991.5</v>
      </c>
      <c r="Y40" s="2"/>
      <c r="Z40" s="6">
        <f t="shared" si="29"/>
        <v>-0.43223005968529571</v>
      </c>
    </row>
    <row r="41" spans="1:26" s="24" customFormat="1" hidden="1" outlineLevel="2" x14ac:dyDescent="0.2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6975.27</v>
      </c>
      <c r="I41" s="2"/>
      <c r="J41" s="6">
        <f t="shared" si="23"/>
        <v>8.1526800532971788E-2</v>
      </c>
      <c r="K41" s="2"/>
      <c r="L41" s="7">
        <f t="shared" si="24"/>
        <v>-6975.27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42760.752499999995</v>
      </c>
      <c r="U41" s="2"/>
      <c r="V41" s="6">
        <f t="shared" si="27"/>
        <v>0.10922537810575465</v>
      </c>
      <c r="W41" s="2"/>
      <c r="X41" s="7">
        <f t="shared" si="28"/>
        <v>-42760.752499999995</v>
      </c>
      <c r="Y41" s="2"/>
      <c r="Z41" s="6">
        <f t="shared" si="29"/>
        <v>-1</v>
      </c>
    </row>
    <row r="42" spans="1:26" s="24" customFormat="1" hidden="1" outlineLevel="2" x14ac:dyDescent="0.25">
      <c r="A42" s="27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7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3.5063933238271114E-3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4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2500</v>
      </c>
      <c r="U44" s="1"/>
      <c r="V44" s="5">
        <f t="shared" ref="V44:V69" si="35">IF(T$12=0,0,T44/T$12)</f>
        <v>6.385842841853325E-3</v>
      </c>
      <c r="W44" s="1"/>
      <c r="X44" s="1">
        <f t="shared" ref="X44:X69" si="36">+P44-T44</f>
        <v>-2500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3.5063933238271114E-3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2500</v>
      </c>
      <c r="U45" s="2"/>
      <c r="V45" s="6">
        <f t="shared" si="35"/>
        <v>6.385842841853325E-3</v>
      </c>
      <c r="W45" s="2"/>
      <c r="X45" s="7">
        <f t="shared" si="36"/>
        <v>-2500</v>
      </c>
      <c r="Y45" s="2"/>
      <c r="Z45" s="6">
        <f t="shared" si="37"/>
        <v>-1</v>
      </c>
    </row>
    <row r="46" spans="1:26" s="28" customFormat="1" outlineLevel="1" collapsed="1" x14ac:dyDescent="0.25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9.3503821968722974E-5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56</v>
      </c>
      <c r="U46" s="1"/>
      <c r="V46" s="5">
        <f t="shared" si="35"/>
        <v>1.4304287965751446E-4</v>
      </c>
      <c r="W46" s="1"/>
      <c r="X46" s="1">
        <f t="shared" si="36"/>
        <v>-26.26</v>
      </c>
      <c r="Y46" s="1"/>
      <c r="Z46" s="5">
        <f t="shared" si="37"/>
        <v>-0.46892857142857147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9.3503821968722974E-5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56</v>
      </c>
      <c r="U47" s="2"/>
      <c r="V47" s="6">
        <f t="shared" si="35"/>
        <v>1.4304287965751446E-4</v>
      </c>
      <c r="W47" s="2"/>
      <c r="X47" s="7">
        <f t="shared" si="36"/>
        <v>-26.26</v>
      </c>
      <c r="Y47" s="2"/>
      <c r="Z47" s="6">
        <f t="shared" si="37"/>
        <v>-0.46892857142857147</v>
      </c>
    </row>
    <row r="48" spans="1:26" s="28" customFormat="1" outlineLevel="1" collapsed="1" x14ac:dyDescent="0.25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1.1687977746090371E-4</v>
      </c>
      <c r="K48" s="1"/>
      <c r="L48" s="1">
        <f t="shared" si="32"/>
        <v>-10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70</v>
      </c>
      <c r="U48" s="1"/>
      <c r="V48" s="5">
        <f t="shared" si="35"/>
        <v>1.7880359957189309E-4</v>
      </c>
      <c r="W48" s="1"/>
      <c r="X48" s="1">
        <f t="shared" si="36"/>
        <v>-70</v>
      </c>
      <c r="Y48" s="1"/>
      <c r="Z48" s="5">
        <f t="shared" si="37"/>
        <v>-1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10</v>
      </c>
      <c r="I49" s="2"/>
      <c r="J49" s="6">
        <f t="shared" si="31"/>
        <v>1.1687977746090371E-4</v>
      </c>
      <c r="K49" s="2"/>
      <c r="L49" s="7">
        <f t="shared" si="32"/>
        <v>-10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70</v>
      </c>
      <c r="U49" s="2"/>
      <c r="V49" s="6">
        <f t="shared" si="35"/>
        <v>1.7880359957189309E-4</v>
      </c>
      <c r="W49" s="2"/>
      <c r="X49" s="7">
        <f t="shared" si="36"/>
        <v>-70</v>
      </c>
      <c r="Y49" s="2"/>
      <c r="Z49" s="6">
        <f t="shared" si="37"/>
        <v>-1</v>
      </c>
    </row>
    <row r="50" spans="1:26" s="28" customFormat="1" outlineLevel="1" collapsed="1" x14ac:dyDescent="0.25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2.489539259917249E-3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4"/>
      <c r="P50" s="1">
        <f>SUM(OSRRefP22_5x_0)</f>
        <v>1704.16</v>
      </c>
      <c r="Q50" s="1"/>
      <c r="R50" s="5">
        <f t="shared" si="34"/>
        <v>0</v>
      </c>
      <c r="S50" s="1"/>
      <c r="T50" s="1">
        <f>SUM(OSRRefT22_5x_0)</f>
        <v>1704</v>
      </c>
      <c r="U50" s="1"/>
      <c r="V50" s="5">
        <f t="shared" si="35"/>
        <v>4.3525904810072262E-3</v>
      </c>
      <c r="W50" s="1"/>
      <c r="X50" s="1">
        <f t="shared" si="36"/>
        <v>0.16000000000008185</v>
      </c>
      <c r="Y50" s="1"/>
      <c r="Z50" s="5">
        <f t="shared" si="37"/>
        <v>9.3896713615071505E-5</v>
      </c>
    </row>
    <row r="51" spans="1:26" s="24" customFormat="1" hidden="1" outlineLevel="2" x14ac:dyDescent="0.25">
      <c r="A51" s="27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2.489539259917249E-3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1704.16</v>
      </c>
      <c r="Q51" s="2"/>
      <c r="R51" s="6">
        <f t="shared" si="34"/>
        <v>0</v>
      </c>
      <c r="S51" s="2"/>
      <c r="T51" s="7">
        <v>1704</v>
      </c>
      <c r="U51" s="2"/>
      <c r="V51" s="6">
        <f t="shared" si="35"/>
        <v>4.3525904810072262E-3</v>
      </c>
      <c r="W51" s="2"/>
      <c r="X51" s="7">
        <f t="shared" si="36"/>
        <v>0.16000000000008185</v>
      </c>
      <c r="Y51" s="2"/>
      <c r="Z51" s="6">
        <f t="shared" si="37"/>
        <v>9.3896713615071505E-5</v>
      </c>
    </row>
    <row r="52" spans="1:26" s="28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3.1241964515299564E-2</v>
      </c>
      <c r="K52" s="1"/>
      <c r="L52" s="1">
        <f t="shared" si="32"/>
        <v>-2673</v>
      </c>
      <c r="M52" s="1"/>
      <c r="N52" s="5">
        <f t="shared" si="33"/>
        <v>-1</v>
      </c>
      <c r="O52" s="14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18711</v>
      </c>
      <c r="U52" s="1"/>
      <c r="V52" s="5">
        <f t="shared" si="35"/>
        <v>4.7794202165567026E-2</v>
      </c>
      <c r="W52" s="1"/>
      <c r="X52" s="1">
        <f t="shared" si="36"/>
        <v>-18711</v>
      </c>
      <c r="Y52" s="1"/>
      <c r="Z52" s="5">
        <f t="shared" si="37"/>
        <v>-1</v>
      </c>
    </row>
    <row r="53" spans="1:26" s="24" customFormat="1" hidden="1" outlineLevel="2" x14ac:dyDescent="0.25">
      <c r="A53" s="27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3.1241964515299564E-2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18711</v>
      </c>
      <c r="U53" s="2"/>
      <c r="V53" s="6">
        <f t="shared" si="35"/>
        <v>4.7794202165567026E-2</v>
      </c>
      <c r="W53" s="2"/>
      <c r="X53" s="7">
        <f t="shared" si="36"/>
        <v>-18711</v>
      </c>
      <c r="Y53" s="2"/>
      <c r="Z53" s="6">
        <f t="shared" si="37"/>
        <v>-1</v>
      </c>
    </row>
    <row r="54" spans="1:26" s="28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5.8439888730451857E-4</v>
      </c>
      <c r="K54" s="1"/>
      <c r="L54" s="1">
        <f t="shared" si="32"/>
        <v>-50</v>
      </c>
      <c r="M54" s="1"/>
      <c r="N54" s="5">
        <f t="shared" si="33"/>
        <v>-1</v>
      </c>
      <c r="O54" s="14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350</v>
      </c>
      <c r="U54" s="1"/>
      <c r="V54" s="5">
        <f t="shared" si="35"/>
        <v>8.9401799785946551E-4</v>
      </c>
      <c r="W54" s="1"/>
      <c r="X54" s="1">
        <f t="shared" si="36"/>
        <v>-350</v>
      </c>
      <c r="Y54" s="1"/>
      <c r="Z54" s="5">
        <f t="shared" si="37"/>
        <v>-1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5.8439888730451857E-4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350</v>
      </c>
      <c r="U55" s="2"/>
      <c r="V55" s="6">
        <f t="shared" si="35"/>
        <v>8.9401799785946551E-4</v>
      </c>
      <c r="W55" s="2"/>
      <c r="X55" s="7">
        <f t="shared" si="36"/>
        <v>-350</v>
      </c>
      <c r="Y55" s="2"/>
      <c r="Z55" s="6">
        <f t="shared" si="37"/>
        <v>-1</v>
      </c>
    </row>
    <row r="56" spans="1:26" s="28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4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8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1.1687977746090371E-4</v>
      </c>
      <c r="K58" s="1"/>
      <c r="L58" s="1">
        <f t="shared" si="32"/>
        <v>-10</v>
      </c>
      <c r="M58" s="1"/>
      <c r="N58" s="5">
        <f t="shared" si="33"/>
        <v>-1</v>
      </c>
      <c r="O58" s="14"/>
      <c r="P58" s="1">
        <f>SUM(OSRRefP22_9x_0)</f>
        <v>1439.55</v>
      </c>
      <c r="Q58" s="1"/>
      <c r="R58" s="5">
        <f t="shared" si="34"/>
        <v>0</v>
      </c>
      <c r="S58" s="1"/>
      <c r="T58" s="1">
        <f>SUM(OSRRefT22_9x_0)</f>
        <v>1670</v>
      </c>
      <c r="U58" s="1"/>
      <c r="V58" s="5">
        <f t="shared" si="35"/>
        <v>4.2657430183580206E-3</v>
      </c>
      <c r="W58" s="1"/>
      <c r="X58" s="1">
        <f t="shared" si="36"/>
        <v>-230.45000000000005</v>
      </c>
      <c r="Y58" s="1"/>
      <c r="Z58" s="5">
        <f t="shared" si="37"/>
        <v>-0.13799401197604794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1.1687977746090371E-4</v>
      </c>
      <c r="K59" s="2"/>
      <c r="L59" s="7">
        <f t="shared" si="32"/>
        <v>-10</v>
      </c>
      <c r="M59" s="2"/>
      <c r="N59" s="6">
        <f t="shared" si="33"/>
        <v>-1</v>
      </c>
      <c r="O59" s="11"/>
      <c r="P59" s="7">
        <v>1439.55</v>
      </c>
      <c r="Q59" s="2"/>
      <c r="R59" s="6">
        <f t="shared" si="34"/>
        <v>0</v>
      </c>
      <c r="S59" s="2"/>
      <c r="T59" s="7">
        <v>1670</v>
      </c>
      <c r="U59" s="2"/>
      <c r="V59" s="6">
        <f t="shared" si="35"/>
        <v>4.2657430183580206E-3</v>
      </c>
      <c r="W59" s="2"/>
      <c r="X59" s="7">
        <f t="shared" si="36"/>
        <v>-230.45000000000005</v>
      </c>
      <c r="Y59" s="2"/>
      <c r="Z59" s="6">
        <f t="shared" si="37"/>
        <v>-0.13799401197604794</v>
      </c>
    </row>
    <row r="60" spans="1:26" s="28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8.1815844222632599E-5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4"/>
      <c r="P60" s="1">
        <f>SUM(OSRRefP22_10x_0)</f>
        <v>47.2</v>
      </c>
      <c r="Q60" s="1"/>
      <c r="R60" s="5">
        <f t="shared" si="34"/>
        <v>0</v>
      </c>
      <c r="S60" s="1"/>
      <c r="T60" s="1">
        <f>SUM(OSRRefT22_10x_0)</f>
        <v>56</v>
      </c>
      <c r="U60" s="1"/>
      <c r="V60" s="5">
        <f t="shared" si="35"/>
        <v>1.4304287965751446E-4</v>
      </c>
      <c r="W60" s="1"/>
      <c r="X60" s="1">
        <f t="shared" si="36"/>
        <v>-8.7999999999999972</v>
      </c>
      <c r="Y60" s="1"/>
      <c r="Z60" s="5">
        <f t="shared" si="37"/>
        <v>-0.15714285714285708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8.1815844222632599E-5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47.2</v>
      </c>
      <c r="Q61" s="2"/>
      <c r="R61" s="6">
        <f t="shared" si="34"/>
        <v>0</v>
      </c>
      <c r="S61" s="2"/>
      <c r="T61" s="7">
        <v>56</v>
      </c>
      <c r="U61" s="2"/>
      <c r="V61" s="6">
        <f t="shared" si="35"/>
        <v>1.4304287965751446E-4</v>
      </c>
      <c r="W61" s="2"/>
      <c r="X61" s="7">
        <f t="shared" si="36"/>
        <v>-8.7999999999999972</v>
      </c>
      <c r="Y61" s="2"/>
      <c r="Z61" s="6">
        <f t="shared" si="37"/>
        <v>-0.15714285714285708</v>
      </c>
    </row>
    <row r="62" spans="1:26" s="28" customFormat="1" outlineLevel="1" collapsed="1" x14ac:dyDescent="0.25">
      <c r="A62" s="29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6845</v>
      </c>
      <c r="I62" s="1"/>
      <c r="J62" s="5">
        <f t="shared" si="31"/>
        <v>8.0004207671988598E-2</v>
      </c>
      <c r="K62" s="1"/>
      <c r="L62" s="1">
        <f t="shared" si="32"/>
        <v>-6845</v>
      </c>
      <c r="M62" s="1"/>
      <c r="N62" s="5">
        <f t="shared" si="33"/>
        <v>-1</v>
      </c>
      <c r="O62" s="14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31319</v>
      </c>
      <c r="U62" s="1"/>
      <c r="V62" s="5">
        <f t="shared" si="35"/>
        <v>7.9999284785601713E-2</v>
      </c>
      <c r="W62" s="1"/>
      <c r="X62" s="1">
        <f t="shared" si="36"/>
        <v>-31319</v>
      </c>
      <c r="Y62" s="1"/>
      <c r="Z62" s="5">
        <f t="shared" si="37"/>
        <v>-1</v>
      </c>
    </row>
    <row r="63" spans="1:26" s="24" customFormat="1" hidden="1" outlineLevel="2" x14ac:dyDescent="0.25">
      <c r="A63" s="27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6845</v>
      </c>
      <c r="I63" s="2"/>
      <c r="J63" s="6">
        <f t="shared" si="31"/>
        <v>8.0004207671988598E-2</v>
      </c>
      <c r="K63" s="2"/>
      <c r="L63" s="7">
        <f t="shared" si="32"/>
        <v>-6845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31319</v>
      </c>
      <c r="U63" s="2"/>
      <c r="V63" s="6">
        <f t="shared" si="35"/>
        <v>7.9999284785601713E-2</v>
      </c>
      <c r="W63" s="2"/>
      <c r="X63" s="7">
        <f t="shared" si="36"/>
        <v>-31319</v>
      </c>
      <c r="Y63" s="2"/>
      <c r="Z63" s="6">
        <f t="shared" si="37"/>
        <v>-1</v>
      </c>
    </row>
    <row r="64" spans="1:26" s="28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0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2.3375955492180742E-4</v>
      </c>
      <c r="K64" s="1"/>
      <c r="L64" s="1">
        <f t="shared" si="32"/>
        <v>-20</v>
      </c>
      <c r="M64" s="1"/>
      <c r="N64" s="5">
        <f t="shared" si="33"/>
        <v>-1</v>
      </c>
      <c r="O64" s="14"/>
      <c r="P64" s="1">
        <f>SUM(OSRRefP22_12x_0)</f>
        <v>144.66999999999999</v>
      </c>
      <c r="Q64" s="1"/>
      <c r="R64" s="5">
        <f t="shared" si="34"/>
        <v>0</v>
      </c>
      <c r="S64" s="1"/>
      <c r="T64" s="1">
        <f>SUM(OSRRefT22_12x_0)</f>
        <v>160</v>
      </c>
      <c r="U64" s="1"/>
      <c r="V64" s="5">
        <f t="shared" si="35"/>
        <v>4.0869394187861277E-4</v>
      </c>
      <c r="W64" s="1"/>
      <c r="X64" s="1">
        <f t="shared" si="36"/>
        <v>-15.330000000000013</v>
      </c>
      <c r="Y64" s="1"/>
      <c r="Z64" s="5">
        <f t="shared" si="37"/>
        <v>-9.5812500000000078E-2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2.3375955492180742E-4</v>
      </c>
      <c r="K65" s="2"/>
      <c r="L65" s="7">
        <f t="shared" si="32"/>
        <v>-20</v>
      </c>
      <c r="M65" s="2"/>
      <c r="N65" s="6">
        <f t="shared" si="33"/>
        <v>-1</v>
      </c>
      <c r="O65" s="11"/>
      <c r="P65" s="7">
        <v>144.66999999999999</v>
      </c>
      <c r="Q65" s="2"/>
      <c r="R65" s="6">
        <f t="shared" si="34"/>
        <v>0</v>
      </c>
      <c r="S65" s="2"/>
      <c r="T65" s="7">
        <v>160</v>
      </c>
      <c r="U65" s="2"/>
      <c r="V65" s="6">
        <f t="shared" si="35"/>
        <v>4.0869394187861277E-4</v>
      </c>
      <c r="W65" s="2"/>
      <c r="X65" s="7">
        <f t="shared" si="36"/>
        <v>-15.330000000000013</v>
      </c>
      <c r="Y65" s="2"/>
      <c r="Z65" s="6">
        <f t="shared" si="37"/>
        <v>-9.5812500000000078E-2</v>
      </c>
    </row>
    <row r="66" spans="1:26" s="28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0</v>
      </c>
      <c r="E66" s="1"/>
      <c r="F66" s="5">
        <f t="shared" si="30"/>
        <v>0</v>
      </c>
      <c r="G66" s="1"/>
      <c r="H66" s="1">
        <f>SUM(OSRRefH22_13x_0)</f>
        <v>6502</v>
      </c>
      <c r="I66" s="1"/>
      <c r="J66" s="5">
        <f t="shared" si="31"/>
        <v>7.5995231305079597E-2</v>
      </c>
      <c r="K66" s="1"/>
      <c r="L66" s="1">
        <f t="shared" si="32"/>
        <v>-6502</v>
      </c>
      <c r="M66" s="1"/>
      <c r="N66" s="5">
        <f t="shared" si="33"/>
        <v>-1</v>
      </c>
      <c r="O66" s="14"/>
      <c r="P66" s="1">
        <f>SUM(OSRRefP22_13x_0)</f>
        <v>4687.4800000000005</v>
      </c>
      <c r="Q66" s="1"/>
      <c r="R66" s="5">
        <f t="shared" si="34"/>
        <v>0</v>
      </c>
      <c r="S66" s="1"/>
      <c r="T66" s="1">
        <f>SUM(OSRRefT22_13x_0)</f>
        <v>50486</v>
      </c>
      <c r="U66" s="1"/>
      <c r="V66" s="5">
        <f t="shared" si="35"/>
        <v>0.12895826468552279</v>
      </c>
      <c r="W66" s="1"/>
      <c r="X66" s="1">
        <f t="shared" si="36"/>
        <v>-45798.52</v>
      </c>
      <c r="Y66" s="1"/>
      <c r="Z66" s="5">
        <f t="shared" si="37"/>
        <v>-0.90715287406409695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7"/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9.934781084176815E-3</v>
      </c>
      <c r="K67" s="2"/>
      <c r="L67" s="7">
        <f t="shared" si="32"/>
        <v>-850</v>
      </c>
      <c r="M67" s="2"/>
      <c r="N67" s="6">
        <f t="shared" si="33"/>
        <v>-1</v>
      </c>
      <c r="O67" s="11"/>
      <c r="P67" s="7">
        <v>4089.61</v>
      </c>
      <c r="Q67" s="2"/>
      <c r="R67" s="6">
        <f t="shared" si="34"/>
        <v>0</v>
      </c>
      <c r="S67" s="2"/>
      <c r="T67" s="7">
        <v>6800</v>
      </c>
      <c r="U67" s="2"/>
      <c r="V67" s="6">
        <f t="shared" si="35"/>
        <v>1.7369492529841043E-2</v>
      </c>
      <c r="W67" s="2"/>
      <c r="X67" s="7">
        <f t="shared" si="36"/>
        <v>-2710.39</v>
      </c>
      <c r="Y67" s="2"/>
      <c r="Z67" s="6">
        <f t="shared" si="37"/>
        <v>-0.39858676470588233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4152</v>
      </c>
      <c r="I68" s="2"/>
      <c r="J68" s="6">
        <f t="shared" si="31"/>
        <v>4.8528483601767224E-2</v>
      </c>
      <c r="K68" s="2"/>
      <c r="L68" s="7">
        <f t="shared" si="32"/>
        <v>-4152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31686</v>
      </c>
      <c r="U68" s="2"/>
      <c r="V68" s="6">
        <f t="shared" si="35"/>
        <v>8.0936726514785784E-2</v>
      </c>
      <c r="W68" s="2"/>
      <c r="X68" s="7">
        <f t="shared" si="36"/>
        <v>-31686</v>
      </c>
      <c r="Y68" s="2"/>
      <c r="Z68" s="6">
        <f t="shared" si="37"/>
        <v>-1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1.7531966619135558E-2</v>
      </c>
      <c r="K69" s="2"/>
      <c r="L69" s="7">
        <f t="shared" si="32"/>
        <v>-1500</v>
      </c>
      <c r="M69" s="2"/>
      <c r="N69" s="6">
        <f t="shared" si="33"/>
        <v>-1</v>
      </c>
      <c r="O69" s="11"/>
      <c r="P69" s="7">
        <v>597.87</v>
      </c>
      <c r="Q69" s="2"/>
      <c r="R69" s="6">
        <f t="shared" si="34"/>
        <v>0</v>
      </c>
      <c r="S69" s="2"/>
      <c r="T69" s="7">
        <v>12000</v>
      </c>
      <c r="U69" s="2"/>
      <c r="V69" s="6">
        <f t="shared" si="35"/>
        <v>3.0652045640895961E-2</v>
      </c>
      <c r="W69" s="2"/>
      <c r="X69" s="7">
        <f t="shared" si="36"/>
        <v>-11402.13</v>
      </c>
      <c r="Y69" s="2"/>
      <c r="Z69" s="6">
        <f t="shared" si="37"/>
        <v>-0.9501774999999999</v>
      </c>
    </row>
    <row r="70" spans="1:26" s="28" customFormat="1" outlineLevel="1" collapsed="1" x14ac:dyDescent="0.25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5700</v>
      </c>
      <c r="I70" s="1"/>
      <c r="J70" s="5">
        <f t="shared" ref="J70:J77" si="39">IF(H$12=0,0,H70/H$12)</f>
        <v>6.6621473152715119E-2</v>
      </c>
      <c r="K70" s="1"/>
      <c r="L70" s="1">
        <f t="shared" ref="L70:L77" si="40">+D70-H70</f>
        <v>-5700</v>
      </c>
      <c r="M70" s="1"/>
      <c r="N70" s="5">
        <f t="shared" ref="N70:N77" si="41">IF(H70=0,0,L70/H70)</f>
        <v>-1</v>
      </c>
      <c r="O70" s="14"/>
      <c r="P70" s="1">
        <f>SUM(OSRRefP22_14x_0)</f>
        <v>57.16</v>
      </c>
      <c r="Q70" s="1"/>
      <c r="R70" s="5">
        <f t="shared" ref="R70:R77" si="42">IF(P$12=0,0,P70/P$12)</f>
        <v>0</v>
      </c>
      <c r="S70" s="1"/>
      <c r="T70" s="1">
        <f>SUM(OSRRefT22_14x_0)</f>
        <v>41440</v>
      </c>
      <c r="U70" s="1"/>
      <c r="V70" s="5">
        <f t="shared" ref="V70:V77" si="43">IF(T$12=0,0,T70/T$12)</f>
        <v>0.10585173094656071</v>
      </c>
      <c r="W70" s="1"/>
      <c r="X70" s="1">
        <f t="shared" ref="X70:X77" si="44">+P70-T70</f>
        <v>-41382.839999999997</v>
      </c>
      <c r="Y70" s="1"/>
      <c r="Z70" s="5">
        <f t="shared" ref="Z70:Z77" si="45">IF(T70=0,0,X70/T70)</f>
        <v>-0.99862065637065633</v>
      </c>
    </row>
    <row r="71" spans="1:26" s="24" customFormat="1" hidden="1" outlineLevel="2" x14ac:dyDescent="0.25">
      <c r="A71" s="27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3.5063933238271117E-2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21000</v>
      </c>
      <c r="U71" s="2"/>
      <c r="V71" s="6">
        <f t="shared" si="43"/>
        <v>5.364107987156793E-2</v>
      </c>
      <c r="W71" s="2"/>
      <c r="X71" s="7">
        <f t="shared" si="44"/>
        <v>-21000</v>
      </c>
      <c r="Y71" s="2"/>
      <c r="Z71" s="6">
        <f t="shared" si="45"/>
        <v>-1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2.3375955492180744E-2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15000</v>
      </c>
      <c r="U72" s="2"/>
      <c r="V72" s="6">
        <f t="shared" si="43"/>
        <v>3.8315057051119948E-2</v>
      </c>
      <c r="W72" s="2"/>
      <c r="X72" s="7">
        <f t="shared" si="44"/>
        <v>-15000</v>
      </c>
      <c r="Y72" s="2"/>
      <c r="Z72" s="6">
        <f t="shared" si="45"/>
        <v>-1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3.5063933238271114E-3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2100</v>
      </c>
      <c r="U73" s="2"/>
      <c r="V73" s="6">
        <f t="shared" si="43"/>
        <v>5.3641079871567928E-3</v>
      </c>
      <c r="W73" s="2"/>
      <c r="X73" s="7">
        <f t="shared" si="44"/>
        <v>-2100</v>
      </c>
      <c r="Y73" s="2"/>
      <c r="Z73" s="6">
        <f t="shared" si="45"/>
        <v>-1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2.9219944365225931E-3</v>
      </c>
      <c r="K74" s="2"/>
      <c r="L74" s="7">
        <f t="shared" si="40"/>
        <v>-250</v>
      </c>
      <c r="M74" s="2"/>
      <c r="N74" s="6">
        <f t="shared" si="41"/>
        <v>-1</v>
      </c>
      <c r="O74" s="11"/>
      <c r="P74" s="7">
        <v>57.16</v>
      </c>
      <c r="Q74" s="2"/>
      <c r="R74" s="6">
        <f t="shared" si="42"/>
        <v>0</v>
      </c>
      <c r="S74" s="2"/>
      <c r="T74" s="7">
        <v>1750</v>
      </c>
      <c r="U74" s="2"/>
      <c r="V74" s="6">
        <f t="shared" si="43"/>
        <v>4.4700899892973272E-3</v>
      </c>
      <c r="W74" s="2"/>
      <c r="X74" s="7">
        <f t="shared" si="44"/>
        <v>-1692.84</v>
      </c>
      <c r="Y74" s="2"/>
      <c r="Z74" s="6">
        <f t="shared" si="45"/>
        <v>-0.96733714285714278</v>
      </c>
    </row>
    <row r="75" spans="1:26" s="24" customFormat="1" hidden="1" outlineLevel="2" x14ac:dyDescent="0.25">
      <c r="A75" s="27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/>
      <c r="I75" s="2"/>
      <c r="J75" s="6">
        <f t="shared" si="39"/>
        <v>0</v>
      </c>
      <c r="K75" s="2"/>
      <c r="L75" s="7">
        <f t="shared" si="40"/>
        <v>0</v>
      </c>
      <c r="M75" s="2"/>
      <c r="N75" s="6">
        <f t="shared" si="41"/>
        <v>0</v>
      </c>
      <c r="O75" s="11"/>
      <c r="P75" s="7"/>
      <c r="Q75" s="2"/>
      <c r="R75" s="6">
        <f t="shared" si="42"/>
        <v>0</v>
      </c>
      <c r="S75" s="2"/>
      <c r="T75" s="7">
        <v>40</v>
      </c>
      <c r="U75" s="2"/>
      <c r="V75" s="6">
        <f t="shared" si="43"/>
        <v>1.0217348546965319E-4</v>
      </c>
      <c r="W75" s="2"/>
      <c r="X75" s="7">
        <f t="shared" si="44"/>
        <v>-40</v>
      </c>
      <c r="Y75" s="2"/>
      <c r="Z75" s="6">
        <f t="shared" si="45"/>
        <v>-1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1.277168568370665E-3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25">
      <c r="A77" s="27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1.7531966619135557E-3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1050</v>
      </c>
      <c r="U77" s="2"/>
      <c r="V77" s="6">
        <f t="shared" si="43"/>
        <v>2.6820539935783964E-3</v>
      </c>
      <c r="W77" s="2"/>
      <c r="X77" s="7">
        <f t="shared" si="44"/>
        <v>-1050</v>
      </c>
      <c r="Y77" s="2"/>
      <c r="Z77" s="6">
        <f t="shared" si="45"/>
        <v>-1</v>
      </c>
    </row>
    <row r="78" spans="1:26" s="28" customFormat="1" outlineLevel="1" collapsed="1" x14ac:dyDescent="0.25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1.636316884452652E-3</v>
      </c>
      <c r="K78" s="1"/>
      <c r="L78" s="1">
        <f t="shared" ref="L78:L80" si="48">+D78-H78</f>
        <v>-140</v>
      </c>
      <c r="M78" s="1"/>
      <c r="N78" s="5">
        <f t="shared" ref="N78:N80" si="49">IF(H78=0,0,L78/H78)</f>
        <v>-1</v>
      </c>
      <c r="O78" s="14"/>
      <c r="P78" s="1">
        <f>SUM(OSRRefP22_15x_0)</f>
        <v>579.63</v>
      </c>
      <c r="Q78" s="1"/>
      <c r="R78" s="5">
        <f t="shared" ref="R78:R80" si="50">IF(P$12=0,0,P78/P$12)</f>
        <v>0</v>
      </c>
      <c r="S78" s="1"/>
      <c r="T78" s="1">
        <f>SUM(OSRRefT22_15x_0)</f>
        <v>1120</v>
      </c>
      <c r="U78" s="1"/>
      <c r="V78" s="5">
        <f t="shared" ref="V78:V80" si="51">IF(T$12=0,0,T78/T$12)</f>
        <v>2.8608575931502894E-3</v>
      </c>
      <c r="W78" s="1"/>
      <c r="X78" s="1">
        <f t="shared" ref="X78:X80" si="52">+P78-T78</f>
        <v>-540.37</v>
      </c>
      <c r="Y78" s="1"/>
      <c r="Z78" s="5">
        <f t="shared" ref="Z78:Z80" si="53">IF(T78=0,0,X78/T78)</f>
        <v>-0.48247321428571427</v>
      </c>
    </row>
    <row r="79" spans="1:26" s="24" customFormat="1" hidden="1" outlineLevel="2" x14ac:dyDescent="0.25">
      <c r="A79" s="27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1.636316884452652E-3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1120</v>
      </c>
      <c r="U79" s="2"/>
      <c r="V79" s="6">
        <f t="shared" si="51"/>
        <v>2.8608575931502894E-3</v>
      </c>
      <c r="W79" s="2"/>
      <c r="X79" s="7">
        <f t="shared" si="52"/>
        <v>-1120</v>
      </c>
      <c r="Y79" s="2"/>
      <c r="Z79" s="6">
        <f t="shared" si="53"/>
        <v>-1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7"/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0</v>
      </c>
      <c r="M80" s="2"/>
      <c r="N80" s="6">
        <f t="shared" si="49"/>
        <v>0</v>
      </c>
      <c r="O80" s="11"/>
      <c r="P80" s="7">
        <v>579.63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579.63</v>
      </c>
      <c r="Y80" s="2"/>
      <c r="Z80" s="6">
        <f t="shared" si="53"/>
        <v>0</v>
      </c>
    </row>
    <row r="81" spans="1:26" s="28" customFormat="1" outlineLevel="1" collapsed="1" x14ac:dyDescent="0.25">
      <c r="A81" s="29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2.3375955492180743E-3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4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1600</v>
      </c>
      <c r="U81" s="1"/>
      <c r="V81" s="5">
        <f t="shared" ref="V81:V82" si="59">IF(T$12=0,0,T81/T$12)</f>
        <v>4.0869394187861277E-3</v>
      </c>
      <c r="W81" s="1"/>
      <c r="X81" s="1">
        <f t="shared" ref="X81:X82" si="60">+P81-T81</f>
        <v>-1600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2.3375955492180743E-3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1600</v>
      </c>
      <c r="U82" s="2"/>
      <c r="V82" s="6">
        <f t="shared" si="59"/>
        <v>4.0869394187861277E-3</v>
      </c>
      <c r="W82" s="2"/>
      <c r="X82" s="7">
        <f t="shared" si="60"/>
        <v>-1600</v>
      </c>
      <c r="Y82" s="2"/>
      <c r="Z82" s="6">
        <f t="shared" si="61"/>
        <v>-1</v>
      </c>
    </row>
    <row r="83" spans="1:26" s="58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19">
        <f>+D19-D21+D84</f>
        <v>-37497.520000000004</v>
      </c>
      <c r="E86" s="13"/>
      <c r="F86" s="21">
        <f>IF(D$12=0,0,D86/D$12)</f>
        <v>0</v>
      </c>
      <c r="G86" s="13"/>
      <c r="H86" s="19">
        <f>+H19-H21+H84</f>
        <v>-30757.714826837662</v>
      </c>
      <c r="I86" s="13"/>
      <c r="J86" s="21">
        <f>IF(H$12=0,0,H86/H$12)</f>
        <v>-0.35949548641667245</v>
      </c>
      <c r="K86" s="15"/>
      <c r="L86" s="19">
        <f>+D86-H86</f>
        <v>-6739.8051731623418</v>
      </c>
      <c r="M86" s="15"/>
      <c r="N86" s="21">
        <f>IF(H86=0,0,L86/H86)</f>
        <v>0.21912567988573459</v>
      </c>
      <c r="O86" s="26"/>
      <c r="P86" s="19">
        <f>+P19-P21+P84</f>
        <v>-327584.5199999999</v>
      </c>
      <c r="Q86" s="13"/>
      <c r="R86" s="21">
        <f>IF(P$12=0,0,P86/P$12)</f>
        <v>0</v>
      </c>
      <c r="S86" s="13"/>
      <c r="T86" s="19">
        <f>+T19-T21+T84</f>
        <v>-450884.65321139188</v>
      </c>
      <c r="U86" s="13"/>
      <c r="V86" s="21">
        <f>IF(T$12=0,0,T86/T$12)</f>
        <v>-1.1517114140845943</v>
      </c>
      <c r="W86" s="15"/>
      <c r="X86" s="19">
        <f>+P86-T86</f>
        <v>123300.13321139198</v>
      </c>
      <c r="Y86" s="15"/>
      <c r="Z86" s="21">
        <f>IF(T86=0,0,X86/T86)</f>
        <v>-0.27346269679661106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>
        <v>14236</v>
      </c>
      <c r="I88" s="4"/>
      <c r="J88" s="12">
        <f>IF(H$12=0,0,H88/H$12)</f>
        <v>0.16639005119334252</v>
      </c>
      <c r="K88" s="4"/>
      <c r="L88" s="4">
        <f>+D88-H88</f>
        <v>-14236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67328</v>
      </c>
      <c r="U88" s="4"/>
      <c r="V88" s="12">
        <f>IF(T$12=0,0,T88/T$12)</f>
        <v>0.17197841074252027</v>
      </c>
      <c r="W88" s="4"/>
      <c r="X88" s="4">
        <f>+P88-T88</f>
        <v>-67328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4">
        <f>+D86-D88</f>
        <v>-37497.520000000004</v>
      </c>
      <c r="E90" s="13"/>
      <c r="F90" s="30">
        <f>IF(D$12=0,0,D90/D$12)</f>
        <v>0</v>
      </c>
      <c r="G90" s="13"/>
      <c r="H90" s="34">
        <f>+H86-H88</f>
        <v>-44993.714826837662</v>
      </c>
      <c r="I90" s="13"/>
      <c r="J90" s="30">
        <f>IF(H$12=0,0,H90/H$12)</f>
        <v>-0.525885537610015</v>
      </c>
      <c r="K90" s="15"/>
      <c r="L90" s="34">
        <f>D90-H90</f>
        <v>7496.1948268376582</v>
      </c>
      <c r="M90" s="15"/>
      <c r="N90" s="30">
        <f>IF(H90=0,0,L90/H90)</f>
        <v>-0.16660537712183657</v>
      </c>
      <c r="O90" s="26"/>
      <c r="P90" s="34">
        <f>+P86-P88</f>
        <v>-327584.5199999999</v>
      </c>
      <c r="Q90" s="13"/>
      <c r="R90" s="30">
        <f>IF(P$12=0,0,P90/P$12)</f>
        <v>0</v>
      </c>
      <c r="S90" s="13"/>
      <c r="T90" s="34">
        <f>+T86-T88</f>
        <v>-518212.65321139188</v>
      </c>
      <c r="U90" s="13"/>
      <c r="V90" s="30">
        <f>IF(T$12=0,0,T90/T$12)</f>
        <v>-1.3236898248271145</v>
      </c>
      <c r="W90" s="15"/>
      <c r="X90" s="34">
        <f>P90-T90</f>
        <v>190628.13321139198</v>
      </c>
      <c r="Y90" s="15"/>
      <c r="Z90" s="30">
        <f>IF(T90=0,0,X90/T90)</f>
        <v>-0.36785696379673311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5">
        <f>SUM(D90:D92)</f>
        <v>-37497.520000000004</v>
      </c>
      <c r="E93" s="13"/>
      <c r="F93" s="31">
        <f>IF(D$12=0,0,D93/D$12)</f>
        <v>0</v>
      </c>
      <c r="G93" s="13"/>
      <c r="H93" s="35">
        <f>SUM(H90:H92)</f>
        <v>-44993.714826837662</v>
      </c>
      <c r="I93" s="13"/>
      <c r="J93" s="31">
        <f>IF(H$12=0,0,H93/H$12)</f>
        <v>-0.525885537610015</v>
      </c>
      <c r="K93" s="15"/>
      <c r="L93" s="35">
        <f>+D93-H93</f>
        <v>7496.1948268376582</v>
      </c>
      <c r="M93" s="15"/>
      <c r="N93" s="31">
        <f>IF(H93=0,0,L93/H93)</f>
        <v>-0.16660537712183657</v>
      </c>
      <c r="O93" s="26"/>
      <c r="P93" s="35">
        <f>SUM(P90:P92)</f>
        <v>-327584.5199999999</v>
      </c>
      <c r="Q93" s="13"/>
      <c r="R93" s="31">
        <f>IF(P$12=0,0,P93/P$12)</f>
        <v>0</v>
      </c>
      <c r="S93" s="13"/>
      <c r="T93" s="35">
        <f>SUM(T90:T92)</f>
        <v>-518212.65321139188</v>
      </c>
      <c r="U93" s="13"/>
      <c r="V93" s="31">
        <f>IF(T$12=0,0,T93/T$12)</f>
        <v>-1.3236898248271145</v>
      </c>
      <c r="W93" s="15"/>
      <c r="X93" s="35">
        <f>+P93-T93</f>
        <v>190628.13321139198</v>
      </c>
      <c r="Y93" s="15"/>
      <c r="Z93" s="31">
        <f>IF(T93=0,0,X93/T93)</f>
        <v>-0.36785696379673311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3">
        <v>44267.672301967592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62" t="s">
        <v>314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7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22598</v>
      </c>
      <c r="E12" s="4"/>
      <c r="F12" s="12"/>
      <c r="G12" s="4"/>
      <c r="H12" s="4">
        <f>SUM(OSRRefH13x_0)</f>
        <v>33871</v>
      </c>
      <c r="I12" s="4"/>
      <c r="J12" s="12"/>
      <c r="K12" s="4"/>
      <c r="L12" s="4">
        <f t="shared" ref="L12:L13" si="0">+D12-H12</f>
        <v>-11273</v>
      </c>
      <c r="M12" s="4"/>
      <c r="N12" s="12">
        <f t="shared" ref="N12:N13" si="1">IF(H12=0,0,L12/H12)</f>
        <v>-0.33282158778896404</v>
      </c>
      <c r="O12" s="10"/>
      <c r="P12" s="4">
        <f>SUM(OSRRefP13x_0)</f>
        <v>392254</v>
      </c>
      <c r="Q12" s="4"/>
      <c r="R12" s="12"/>
      <c r="S12" s="4"/>
      <c r="T12" s="4">
        <f>SUM(OSRRefT13x_0)</f>
        <v>443612</v>
      </c>
      <c r="U12" s="4"/>
      <c r="V12" s="12"/>
      <c r="W12" s="4"/>
      <c r="X12" s="4">
        <f t="shared" ref="X12:X13" si="2">+P12-T12</f>
        <v>-51358</v>
      </c>
      <c r="Y12" s="4"/>
      <c r="Z12" s="12">
        <f t="shared" ref="Z12:Z13" si="3">IF(T12=0,0,X12/T12)</f>
        <v>-0.11577234159580894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--22598</f>
        <v>22598</v>
      </c>
      <c r="E13" s="2"/>
      <c r="F13" s="22"/>
      <c r="G13" s="2"/>
      <c r="H13" s="2">
        <v>33871</v>
      </c>
      <c r="I13" s="2"/>
      <c r="J13" s="22"/>
      <c r="K13" s="2"/>
      <c r="L13" s="2">
        <f t="shared" si="0"/>
        <v>-11273</v>
      </c>
      <c r="M13" s="2"/>
      <c r="N13" s="22">
        <f t="shared" si="1"/>
        <v>-0.33282158778896404</v>
      </c>
      <c r="O13" s="11"/>
      <c r="P13" s="2">
        <f>--392254</f>
        <v>392254</v>
      </c>
      <c r="Q13" s="2"/>
      <c r="R13" s="22"/>
      <c r="S13" s="2"/>
      <c r="T13" s="2">
        <v>443612</v>
      </c>
      <c r="U13" s="2"/>
      <c r="V13" s="22"/>
      <c r="W13" s="2"/>
      <c r="X13" s="2">
        <f t="shared" si="2"/>
        <v>-51358</v>
      </c>
      <c r="Y13" s="2"/>
      <c r="Z13" s="22">
        <f t="shared" si="3"/>
        <v>-0.11577234159580894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22598</v>
      </c>
      <c r="E17" s="13"/>
      <c r="F17" s="21">
        <f>IF(D$12=0,0,D17/D$12)</f>
        <v>1</v>
      </c>
      <c r="G17" s="13"/>
      <c r="H17" s="19">
        <f>H12-H15</f>
        <v>33871</v>
      </c>
      <c r="I17" s="13"/>
      <c r="J17" s="21">
        <f>IF(H$12=0,0,H17/H$12)</f>
        <v>1</v>
      </c>
      <c r="K17" s="15"/>
      <c r="L17" s="19">
        <f>+D17-H17</f>
        <v>-11273</v>
      </c>
      <c r="M17" s="15"/>
      <c r="N17" s="21">
        <f>IF(H17=0,0,L17/H17)</f>
        <v>-0.33282158778896404</v>
      </c>
      <c r="O17" s="26"/>
      <c r="P17" s="19">
        <f>P12-P15</f>
        <v>392254</v>
      </c>
      <c r="Q17" s="13"/>
      <c r="R17" s="21">
        <f>IF(P$12=0,0,P17/P$12)</f>
        <v>1</v>
      </c>
      <c r="S17" s="13"/>
      <c r="T17" s="19">
        <f>T12-T15</f>
        <v>443612</v>
      </c>
      <c r="U17" s="13"/>
      <c r="V17" s="21">
        <f>IF(T$12=0,0,T17/T$12)</f>
        <v>1</v>
      </c>
      <c r="W17" s="15"/>
      <c r="X17" s="19">
        <f>+P17-T17</f>
        <v>-51358</v>
      </c>
      <c r="Y17" s="15"/>
      <c r="Z17" s="21">
        <f>IF(T17=0,0,X17/T17)</f>
        <v>-0.11577234159580894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17834.47</v>
      </c>
      <c r="E19" s="20"/>
      <c r="F19" s="33">
        <f t="shared" ref="F19:F30" si="4">IF(D$12=0,0,D19/D$12)</f>
        <v>0.78920568191875395</v>
      </c>
      <c r="G19" s="20"/>
      <c r="H19" s="20">
        <f>SUM(OSRRefH22x_0)</f>
        <v>32552.256348815386</v>
      </c>
      <c r="I19" s="20"/>
      <c r="J19" s="33">
        <f t="shared" ref="J19:J30" si="5">IF(H$12=0,0,H19/H$12)</f>
        <v>0.96106570071197739</v>
      </c>
      <c r="K19" s="4"/>
      <c r="L19" s="20">
        <f t="shared" ref="L19:L30" si="6">+D19-H19</f>
        <v>-14717.786348815385</v>
      </c>
      <c r="M19" s="4"/>
      <c r="N19" s="33">
        <f t="shared" ref="N19:N30" si="7">IF(H19=0,0,L19/H19)</f>
        <v>-0.45212799355922317</v>
      </c>
      <c r="O19" s="10"/>
      <c r="P19" s="20">
        <f>SUM(OSRRefP22x_0)</f>
        <v>326880.76</v>
      </c>
      <c r="Q19" s="20"/>
      <c r="R19" s="33">
        <f t="shared" ref="R19:R30" si="8">IF(P$12=0,0,P19/P$12)</f>
        <v>0.83333951980094534</v>
      </c>
      <c r="S19" s="20"/>
      <c r="T19" s="20">
        <f>SUM(OSRRefT22x_0)</f>
        <v>399496.21515208459</v>
      </c>
      <c r="U19" s="20"/>
      <c r="V19" s="33">
        <f t="shared" ref="V19:V30" si="9">IF(T$12=0,0,T19/T$12)</f>
        <v>0.90055322027376306</v>
      </c>
      <c r="W19" s="4"/>
      <c r="X19" s="20">
        <f t="shared" ref="X19:X30" si="10">+P19-T19</f>
        <v>-72615.455152084585</v>
      </c>
      <c r="Y19" s="4"/>
      <c r="Z19" s="33">
        <f t="shared" ref="Z19:Z30" si="11">IF(T19=0,0,X19/T19)</f>
        <v>-0.18176756724576362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3867.33</v>
      </c>
      <c r="E20" s="1"/>
      <c r="F20" s="5">
        <f t="shared" si="4"/>
        <v>0.17113594123373749</v>
      </c>
      <c r="G20" s="1"/>
      <c r="H20" s="1">
        <f>SUM(OSRRefH22_0x_0)</f>
        <v>3676.1897795846162</v>
      </c>
      <c r="I20" s="1"/>
      <c r="J20" s="5">
        <f t="shared" si="5"/>
        <v>0.10853502345914251</v>
      </c>
      <c r="K20" s="1"/>
      <c r="L20" s="1">
        <f t="shared" si="6"/>
        <v>191.14022041538374</v>
      </c>
      <c r="M20" s="1"/>
      <c r="N20" s="5">
        <f t="shared" si="7"/>
        <v>5.1994111260757939E-2</v>
      </c>
      <c r="O20" s="14"/>
      <c r="P20" s="1">
        <f>SUM(OSRRefP22_0x_0)</f>
        <v>33760.22</v>
      </c>
      <c r="Q20" s="1"/>
      <c r="R20" s="5">
        <f t="shared" si="8"/>
        <v>8.6067242144120898E-2</v>
      </c>
      <c r="S20" s="1"/>
      <c r="T20" s="1">
        <f>SUM(OSRRefT22_0x_0)</f>
        <v>33529.712871315387</v>
      </c>
      <c r="U20" s="1"/>
      <c r="V20" s="5">
        <f t="shared" si="9"/>
        <v>7.5583421709321183E-2</v>
      </c>
      <c r="W20" s="1"/>
      <c r="X20" s="1">
        <f t="shared" si="10"/>
        <v>230.50712868461414</v>
      </c>
      <c r="Y20" s="1"/>
      <c r="Z20" s="5">
        <f t="shared" si="11"/>
        <v>6.8747122759232632E-3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996.29</v>
      </c>
      <c r="E21" s="2"/>
      <c r="F21" s="6">
        <f t="shared" si="4"/>
        <v>4.4087529869899993E-2</v>
      </c>
      <c r="G21" s="2"/>
      <c r="H21" s="7">
        <v>726.12499943076909</v>
      </c>
      <c r="I21" s="2"/>
      <c r="J21" s="6">
        <f t="shared" si="5"/>
        <v>2.1437955756569604E-2</v>
      </c>
      <c r="K21" s="2"/>
      <c r="L21" s="7">
        <f t="shared" si="6"/>
        <v>270.16500056923087</v>
      </c>
      <c r="M21" s="2"/>
      <c r="N21" s="6">
        <f t="shared" si="7"/>
        <v>0.37206403963645546</v>
      </c>
      <c r="O21" s="11"/>
      <c r="P21" s="7">
        <v>8117.07</v>
      </c>
      <c r="Q21" s="2"/>
      <c r="R21" s="6">
        <f t="shared" si="8"/>
        <v>2.0693402744140277E-2</v>
      </c>
      <c r="S21" s="2"/>
      <c r="T21" s="7">
        <v>8122.5934959692286</v>
      </c>
      <c r="U21" s="2"/>
      <c r="V21" s="6">
        <f t="shared" si="9"/>
        <v>1.8310130239870041E-2</v>
      </c>
      <c r="W21" s="2"/>
      <c r="X21" s="7">
        <f t="shared" si="10"/>
        <v>-5.5234959692288612</v>
      </c>
      <c r="Y21" s="2"/>
      <c r="Z21" s="6">
        <f t="shared" si="11"/>
        <v>-6.8001629922386875E-4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80.06</v>
      </c>
      <c r="E22" s="2"/>
      <c r="F22" s="6">
        <f t="shared" si="4"/>
        <v>3.5427913974688027E-3</v>
      </c>
      <c r="G22" s="2"/>
      <c r="H22" s="7">
        <v>320.28512076923101</v>
      </c>
      <c r="I22" s="2"/>
      <c r="J22" s="6">
        <f t="shared" si="5"/>
        <v>9.4560278931602564E-3</v>
      </c>
      <c r="K22" s="2"/>
      <c r="L22" s="7">
        <f t="shared" si="6"/>
        <v>-240.22512076923101</v>
      </c>
      <c r="M22" s="2"/>
      <c r="N22" s="6">
        <f t="shared" si="7"/>
        <v>-0.7500352192205515</v>
      </c>
      <c r="O22" s="11"/>
      <c r="P22" s="7">
        <v>733.88</v>
      </c>
      <c r="Q22" s="2"/>
      <c r="R22" s="6">
        <f t="shared" si="8"/>
        <v>1.8709305704976878E-3</v>
      </c>
      <c r="S22" s="2"/>
      <c r="T22" s="7">
        <v>2799.0184717307711</v>
      </c>
      <c r="U22" s="2"/>
      <c r="V22" s="6">
        <f t="shared" si="9"/>
        <v>6.3096094599126512E-3</v>
      </c>
      <c r="W22" s="2"/>
      <c r="X22" s="7">
        <f t="shared" si="10"/>
        <v>-2065.138471730771</v>
      </c>
      <c r="Y22" s="2"/>
      <c r="Z22" s="6">
        <f t="shared" si="11"/>
        <v>-0.73780808972432188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5.3453845473050716E-2</v>
      </c>
      <c r="G23" s="2"/>
      <c r="H23" s="7">
        <v>1025</v>
      </c>
      <c r="I23" s="2"/>
      <c r="J23" s="6">
        <f t="shared" si="5"/>
        <v>3.0261875941070531E-2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9818.9</v>
      </c>
      <c r="Q23" s="2"/>
      <c r="R23" s="6">
        <f t="shared" si="8"/>
        <v>2.5031994574943785E-2</v>
      </c>
      <c r="S23" s="2"/>
      <c r="T23" s="7">
        <v>8532.5</v>
      </c>
      <c r="U23" s="2"/>
      <c r="V23" s="6">
        <f t="shared" si="9"/>
        <v>1.9234150564006385E-2</v>
      </c>
      <c r="W23" s="2"/>
      <c r="X23" s="7">
        <f t="shared" si="10"/>
        <v>1286.3999999999996</v>
      </c>
      <c r="Y23" s="2"/>
      <c r="Z23" s="6">
        <f t="shared" si="11"/>
        <v>0.15076472311749189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35.479999999999997</v>
      </c>
      <c r="E24" s="2"/>
      <c r="F24" s="6">
        <f t="shared" si="4"/>
        <v>1.5700504469422071E-3</v>
      </c>
      <c r="G24" s="2"/>
      <c r="H24" s="7">
        <v>45.013044000000001</v>
      </c>
      <c r="I24" s="2"/>
      <c r="J24" s="6">
        <f t="shared" si="5"/>
        <v>1.3289552714711701E-3</v>
      </c>
      <c r="K24" s="2"/>
      <c r="L24" s="7">
        <f t="shared" si="6"/>
        <v>-9.5330440000000038</v>
      </c>
      <c r="M24" s="2"/>
      <c r="N24" s="6">
        <f t="shared" si="7"/>
        <v>-0.21178403309049715</v>
      </c>
      <c r="O24" s="11"/>
      <c r="P24" s="7">
        <v>320.04000000000002</v>
      </c>
      <c r="Q24" s="2"/>
      <c r="R24" s="6">
        <f t="shared" si="8"/>
        <v>8.1589990159437514E-4</v>
      </c>
      <c r="S24" s="2"/>
      <c r="T24" s="7">
        <v>393.37556899999998</v>
      </c>
      <c r="U24" s="2"/>
      <c r="V24" s="6">
        <f t="shared" si="9"/>
        <v>8.8675592409583146E-4</v>
      </c>
      <c r="W24" s="2"/>
      <c r="X24" s="7">
        <f t="shared" si="10"/>
        <v>-73.335568999999964</v>
      </c>
      <c r="Y24" s="2"/>
      <c r="Z24" s="6">
        <f t="shared" si="11"/>
        <v>-0.18642634362481206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2.8336578458270645E-2</v>
      </c>
      <c r="G25" s="2"/>
      <c r="H25" s="7">
        <v>560.123953846154</v>
      </c>
      <c r="I25" s="2"/>
      <c r="J25" s="6">
        <f t="shared" si="5"/>
        <v>1.6536977173574857E-2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6420.58</v>
      </c>
      <c r="Q25" s="2"/>
      <c r="R25" s="6">
        <f t="shared" si="8"/>
        <v>1.6368424541241135E-2</v>
      </c>
      <c r="S25" s="2"/>
      <c r="T25" s="7">
        <v>5146.431846153846</v>
      </c>
      <c r="U25" s="2"/>
      <c r="V25" s="6">
        <f t="shared" si="9"/>
        <v>1.1601200702762427E-2</v>
      </c>
      <c r="W25" s="2"/>
      <c r="X25" s="7">
        <f t="shared" si="10"/>
        <v>1274.1481538461539</v>
      </c>
      <c r="Y25" s="2"/>
      <c r="Z25" s="6">
        <f t="shared" si="11"/>
        <v>0.2475789424469656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87.92</v>
      </c>
      <c r="E27" s="2"/>
      <c r="F27" s="6">
        <f t="shared" si="4"/>
        <v>3.8906097884768565E-3</v>
      </c>
      <c r="G27" s="2"/>
      <c r="H27" s="7"/>
      <c r="I27" s="2"/>
      <c r="J27" s="6">
        <f t="shared" si="5"/>
        <v>0</v>
      </c>
      <c r="K27" s="2"/>
      <c r="L27" s="7">
        <f t="shared" si="6"/>
        <v>87.92</v>
      </c>
      <c r="M27" s="2"/>
      <c r="N27" s="6">
        <f t="shared" si="7"/>
        <v>0</v>
      </c>
      <c r="O27" s="11"/>
      <c r="P27" s="7">
        <v>697.86</v>
      </c>
      <c r="Q27" s="2"/>
      <c r="R27" s="6">
        <f t="shared" si="8"/>
        <v>1.7791023163562386E-3</v>
      </c>
      <c r="S27" s="2"/>
      <c r="T27" s="7"/>
      <c r="U27" s="2"/>
      <c r="V27" s="6">
        <f t="shared" si="9"/>
        <v>0</v>
      </c>
      <c r="W27" s="2"/>
      <c r="X27" s="7">
        <f t="shared" si="10"/>
        <v>697.86</v>
      </c>
      <c r="Y27" s="2"/>
      <c r="Z27" s="6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2.3011770953181698E-2</v>
      </c>
      <c r="G28" s="2"/>
      <c r="H28" s="7">
        <v>195.39207692307698</v>
      </c>
      <c r="I28" s="2"/>
      <c r="J28" s="6">
        <f t="shared" si="5"/>
        <v>5.7687129675261135E-3</v>
      </c>
      <c r="K28" s="2"/>
      <c r="L28" s="7">
        <f t="shared" si="6"/>
        <v>324.62792307692303</v>
      </c>
      <c r="M28" s="2"/>
      <c r="N28" s="6">
        <f t="shared" si="7"/>
        <v>1.6614180482083944</v>
      </c>
      <c r="O28" s="11"/>
      <c r="P28" s="7">
        <v>4420.17</v>
      </c>
      <c r="Q28" s="2"/>
      <c r="R28" s="6">
        <f t="shared" si="8"/>
        <v>1.1268642257312864E-2</v>
      </c>
      <c r="S28" s="2"/>
      <c r="T28" s="7">
        <v>1795.2669230769229</v>
      </c>
      <c r="U28" s="2"/>
      <c r="V28" s="6">
        <f t="shared" si="9"/>
        <v>4.0469304777078236E-3</v>
      </c>
      <c r="W28" s="2"/>
      <c r="X28" s="7">
        <f t="shared" si="10"/>
        <v>2624.9030769230772</v>
      </c>
      <c r="Y28" s="2"/>
      <c r="Z28" s="6">
        <f t="shared" si="11"/>
        <v>1.4621241238178855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1.3242764846446587E-2</v>
      </c>
      <c r="G29" s="2"/>
      <c r="H29" s="7">
        <v>454.25058461538498</v>
      </c>
      <c r="I29" s="2"/>
      <c r="J29" s="6">
        <f t="shared" si="5"/>
        <v>1.3411194963697115E-2</v>
      </c>
      <c r="K29" s="2"/>
      <c r="L29" s="7">
        <f t="shared" si="6"/>
        <v>-154.99058461538499</v>
      </c>
      <c r="M29" s="2"/>
      <c r="N29" s="6">
        <f t="shared" si="7"/>
        <v>-0.34120062772536852</v>
      </c>
      <c r="O29" s="11"/>
      <c r="P29" s="7">
        <v>2543.7199999999998</v>
      </c>
      <c r="Q29" s="2"/>
      <c r="R29" s="6">
        <f t="shared" si="8"/>
        <v>6.4848796952994741E-3</v>
      </c>
      <c r="S29" s="2"/>
      <c r="T29" s="7">
        <v>3940.5265653846182</v>
      </c>
      <c r="U29" s="2"/>
      <c r="V29" s="6">
        <f t="shared" si="9"/>
        <v>8.8828222982800693E-3</v>
      </c>
      <c r="W29" s="2"/>
      <c r="X29" s="7">
        <f t="shared" si="10"/>
        <v>-1396.8065653846184</v>
      </c>
      <c r="Y29" s="2"/>
      <c r="Z29" s="6">
        <f t="shared" si="11"/>
        <v>-0.35447205905292051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1.0333323492072865E-2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688</v>
      </c>
      <c r="Q30" s="2"/>
      <c r="R30" s="6">
        <f t="shared" si="8"/>
        <v>1.7539655427350645E-3</v>
      </c>
      <c r="S30" s="2"/>
      <c r="T30" s="7">
        <v>2800</v>
      </c>
      <c r="U30" s="2"/>
      <c r="V30" s="6">
        <f t="shared" si="9"/>
        <v>6.311822042685951E-3</v>
      </c>
      <c r="W30" s="2"/>
      <c r="X30" s="7">
        <f t="shared" si="10"/>
        <v>-2112</v>
      </c>
      <c r="Y30" s="2"/>
      <c r="Z30" s="6">
        <f t="shared" si="11"/>
        <v>-0.75428571428571434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13003.130000000001</v>
      </c>
      <c r="E31" s="1"/>
      <c r="F31" s="5">
        <f t="shared" ref="F31:F41" si="12">IF(D$12=0,0,D31/D$12)</f>
        <v>0.57541065581024875</v>
      </c>
      <c r="G31" s="1"/>
      <c r="H31" s="1">
        <f>SUM(OSRRefH22_1x_0)</f>
        <v>16663.06656923077</v>
      </c>
      <c r="I31" s="1"/>
      <c r="J31" s="5">
        <f t="shared" ref="J31:J41" si="13">IF(H$12=0,0,H31/H$12)</f>
        <v>0.49195673494230374</v>
      </c>
      <c r="K31" s="1"/>
      <c r="L31" s="1">
        <f t="shared" ref="L31:L41" si="14">+D31-H31</f>
        <v>-3659.9365692307692</v>
      </c>
      <c r="M31" s="1"/>
      <c r="N31" s="5">
        <f t="shared" ref="N31:N41" si="15">IF(H31=0,0,L31/H31)</f>
        <v>-0.21964363846382484</v>
      </c>
      <c r="O31" s="14"/>
      <c r="P31" s="1">
        <f>SUM(OSRRefP22_1x_0)</f>
        <v>115180.55</v>
      </c>
      <c r="Q31" s="1"/>
      <c r="R31" s="5">
        <f t="shared" ref="R31:R41" si="16">IF(P$12=0,0,P31/P$12)</f>
        <v>0.29363766844952505</v>
      </c>
      <c r="S31" s="1"/>
      <c r="T31" s="1">
        <f>SUM(OSRRefT22_1x_0)</f>
        <v>145562.50228076923</v>
      </c>
      <c r="U31" s="1"/>
      <c r="V31" s="5">
        <f t="shared" ref="V31:V41" si="17">IF(T$12=0,0,T31/T$12)</f>
        <v>0.32813021803010117</v>
      </c>
      <c r="W31" s="1"/>
      <c r="X31" s="1">
        <f t="shared" ref="X31:X41" si="18">+P31-T31</f>
        <v>-30381.952280769226</v>
      </c>
      <c r="Y31" s="1"/>
      <c r="Z31" s="5">
        <f t="shared" ref="Z31:Z41" si="19">IF(T31=0,0,X31/T31)</f>
        <v>-0.2087210085339615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4205.72</v>
      </c>
      <c r="E32" s="2"/>
      <c r="F32" s="6">
        <f t="shared" si="12"/>
        <v>0.18611027524559698</v>
      </c>
      <c r="G32" s="2"/>
      <c r="H32" s="7">
        <v>4019.23076923077</v>
      </c>
      <c r="I32" s="2"/>
      <c r="J32" s="6">
        <f t="shared" si="13"/>
        <v>0.11866289065072687</v>
      </c>
      <c r="K32" s="2"/>
      <c r="L32" s="7">
        <f t="shared" si="14"/>
        <v>186.48923076923029</v>
      </c>
      <c r="M32" s="2"/>
      <c r="N32" s="6">
        <f t="shared" si="15"/>
        <v>4.6399234449760636E-2</v>
      </c>
      <c r="O32" s="11"/>
      <c r="P32" s="7">
        <v>35118.33</v>
      </c>
      <c r="Q32" s="2"/>
      <c r="R32" s="6">
        <f t="shared" si="16"/>
        <v>8.9529565026742877E-2</v>
      </c>
      <c r="S32" s="2"/>
      <c r="T32" s="7">
        <v>35168.269230769227</v>
      </c>
      <c r="U32" s="2"/>
      <c r="V32" s="6">
        <f t="shared" si="17"/>
        <v>7.9277091762101182E-2</v>
      </c>
      <c r="W32" s="2"/>
      <c r="X32" s="7">
        <f t="shared" si="18"/>
        <v>-49.939230769225105</v>
      </c>
      <c r="Y32" s="2"/>
      <c r="Z32" s="6">
        <f t="shared" si="19"/>
        <v>-1.4200082023238308E-3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0.10099566333303833</v>
      </c>
      <c r="G33" s="2"/>
      <c r="H33" s="7">
        <v>2168.1849999999999</v>
      </c>
      <c r="I33" s="2"/>
      <c r="J33" s="6">
        <f t="shared" si="13"/>
        <v>6.4013019987600006E-2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18829.390000000003</v>
      </c>
      <c r="Q33" s="2"/>
      <c r="R33" s="6">
        <f t="shared" si="16"/>
        <v>4.8003054143488669E-2</v>
      </c>
      <c r="S33" s="2"/>
      <c r="T33" s="7">
        <v>21681.85</v>
      </c>
      <c r="U33" s="2"/>
      <c r="V33" s="6">
        <f t="shared" si="17"/>
        <v>4.8875706698646562E-2</v>
      </c>
      <c r="W33" s="2"/>
      <c r="X33" s="7">
        <f t="shared" si="18"/>
        <v>-2852.4599999999955</v>
      </c>
      <c r="Y33" s="2"/>
      <c r="Z33" s="6">
        <f t="shared" si="19"/>
        <v>-0.13155980693529359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8.5199397714859307E-2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23953.024799999999</v>
      </c>
      <c r="U35" s="2"/>
      <c r="V35" s="6">
        <f t="shared" si="17"/>
        <v>5.3995439257729726E-2</v>
      </c>
      <c r="W35" s="2"/>
      <c r="X35" s="7">
        <f t="shared" si="18"/>
        <v>-23953.024799999999</v>
      </c>
      <c r="Y35" s="2"/>
      <c r="Z35" s="6">
        <f t="shared" si="19"/>
        <v>-1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6611.59</v>
      </c>
      <c r="E36" s="2"/>
      <c r="F36" s="6">
        <f t="shared" si="12"/>
        <v>0.29257412160368174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6611.59</v>
      </c>
      <c r="M36" s="2"/>
      <c r="N36" s="6">
        <f t="shared" si="15"/>
        <v>0</v>
      </c>
      <c r="O36" s="11"/>
      <c r="P36" s="7">
        <v>51774.17</v>
      </c>
      <c r="Q36" s="2"/>
      <c r="R36" s="6">
        <f t="shared" si="16"/>
        <v>0.13199143922050507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51774.17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-645</v>
      </c>
      <c r="E38" s="2"/>
      <c r="F38" s="6">
        <f t="shared" si="12"/>
        <v>-2.8542348880431896E-2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-645</v>
      </c>
      <c r="M38" s="2"/>
      <c r="N38" s="6">
        <f t="shared" si="15"/>
        <v>0</v>
      </c>
      <c r="O38" s="11"/>
      <c r="P38" s="7">
        <v>5546.78</v>
      </c>
      <c r="Q38" s="2"/>
      <c r="R38" s="6">
        <f t="shared" si="16"/>
        <v>1.4140786327226745E-2</v>
      </c>
      <c r="S38" s="2"/>
      <c r="T38" s="7">
        <v>20952</v>
      </c>
      <c r="U38" s="2"/>
      <c r="V38" s="6">
        <f t="shared" si="17"/>
        <v>4.7230462656555727E-2</v>
      </c>
      <c r="W38" s="2"/>
      <c r="X38" s="7">
        <f t="shared" si="18"/>
        <v>-15405.220000000001</v>
      </c>
      <c r="Y38" s="2"/>
      <c r="Z38" s="6">
        <f t="shared" si="19"/>
        <v>-0.73526250477281407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548.52</v>
      </c>
      <c r="E39" s="2"/>
      <c r="F39" s="6">
        <f t="shared" si="12"/>
        <v>2.4272944508363571E-2</v>
      </c>
      <c r="G39" s="2"/>
      <c r="H39" s="7">
        <v>7589.8620000000001</v>
      </c>
      <c r="I39" s="2"/>
      <c r="J39" s="6">
        <f t="shared" si="13"/>
        <v>0.22408142658911753</v>
      </c>
      <c r="K39" s="2"/>
      <c r="L39" s="7">
        <f t="shared" si="14"/>
        <v>-7041.3420000000006</v>
      </c>
      <c r="M39" s="2"/>
      <c r="N39" s="6">
        <f t="shared" si="15"/>
        <v>-0.92772991129482996</v>
      </c>
      <c r="O39" s="11"/>
      <c r="P39" s="7">
        <v>3911.88</v>
      </c>
      <c r="Q39" s="2"/>
      <c r="R39" s="6">
        <f t="shared" si="16"/>
        <v>9.9728237315616919E-3</v>
      </c>
      <c r="S39" s="2"/>
      <c r="T39" s="7">
        <v>43807.358249999997</v>
      </c>
      <c r="U39" s="2"/>
      <c r="V39" s="6">
        <f t="shared" si="17"/>
        <v>9.8751517655067941E-2</v>
      </c>
      <c r="W39" s="2"/>
      <c r="X39" s="7">
        <f t="shared" si="18"/>
        <v>-39895.47825</v>
      </c>
      <c r="Y39" s="2"/>
      <c r="Z39" s="6">
        <f t="shared" si="19"/>
        <v>-0.91070267287802054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2.9523781405922469E-3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800</v>
      </c>
      <c r="U42" s="1"/>
      <c r="V42" s="5">
        <f t="shared" ref="V42:V50" si="25">IF(T$12=0,0,T42/T$12)</f>
        <v>1.8033777264817002E-3</v>
      </c>
      <c r="W42" s="1"/>
      <c r="X42" s="1">
        <f t="shared" ref="X42:X50" si="26">+P42-T42</f>
        <v>-800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2.9523781405922469E-3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800</v>
      </c>
      <c r="U43" s="2"/>
      <c r="V43" s="6">
        <f t="shared" si="25"/>
        <v>1.8033777264817002E-3</v>
      </c>
      <c r="W43" s="2"/>
      <c r="X43" s="7">
        <f t="shared" si="26"/>
        <v>-800</v>
      </c>
      <c r="Y43" s="2"/>
      <c r="Z43" s="6">
        <f t="shared" si="27"/>
        <v>-1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37</v>
      </c>
      <c r="E44" s="1"/>
      <c r="F44" s="5">
        <f t="shared" si="20"/>
        <v>1.6373130365519072E-3</v>
      </c>
      <c r="G44" s="1"/>
      <c r="H44" s="1">
        <f>SUM(OSRRefH22_3x_0)</f>
        <v>2000</v>
      </c>
      <c r="I44" s="1"/>
      <c r="J44" s="5">
        <f t="shared" si="21"/>
        <v>5.9047562811844943E-2</v>
      </c>
      <c r="K44" s="1"/>
      <c r="L44" s="1">
        <f t="shared" si="22"/>
        <v>-1963</v>
      </c>
      <c r="M44" s="1"/>
      <c r="N44" s="5">
        <f t="shared" si="23"/>
        <v>-0.98150000000000004</v>
      </c>
      <c r="O44" s="14"/>
      <c r="P44" s="1">
        <f>SUM(OSRRefP22_3x_0)</f>
        <v>707.89</v>
      </c>
      <c r="Q44" s="1"/>
      <c r="R44" s="5">
        <f t="shared" si="24"/>
        <v>1.8046724826260535E-3</v>
      </c>
      <c r="S44" s="1"/>
      <c r="T44" s="1">
        <f>SUM(OSRRefT22_3x_0)</f>
        <v>13700</v>
      </c>
      <c r="U44" s="1"/>
      <c r="V44" s="5">
        <f t="shared" si="25"/>
        <v>3.0882843565999116E-2</v>
      </c>
      <c r="W44" s="1"/>
      <c r="X44" s="1">
        <f t="shared" si="26"/>
        <v>-12992.11</v>
      </c>
      <c r="Y44" s="1"/>
      <c r="Z44" s="5">
        <f t="shared" si="27"/>
        <v>-0.94832919708029206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37</v>
      </c>
      <c r="E45" s="2"/>
      <c r="F45" s="6">
        <f t="shared" si="20"/>
        <v>1.6373130365519072E-3</v>
      </c>
      <c r="G45" s="2"/>
      <c r="H45" s="7">
        <v>2000</v>
      </c>
      <c r="I45" s="2"/>
      <c r="J45" s="6">
        <f t="shared" si="21"/>
        <v>5.9047562811844943E-2</v>
      </c>
      <c r="K45" s="2"/>
      <c r="L45" s="7">
        <f t="shared" si="22"/>
        <v>-1963</v>
      </c>
      <c r="M45" s="2"/>
      <c r="N45" s="6">
        <f t="shared" si="23"/>
        <v>-0.98150000000000004</v>
      </c>
      <c r="O45" s="11"/>
      <c r="P45" s="7">
        <v>707.89</v>
      </c>
      <c r="Q45" s="2"/>
      <c r="R45" s="6">
        <f t="shared" si="24"/>
        <v>1.8046724826260535E-3</v>
      </c>
      <c r="S45" s="2"/>
      <c r="T45" s="7">
        <v>13700</v>
      </c>
      <c r="U45" s="2"/>
      <c r="V45" s="6">
        <f t="shared" si="25"/>
        <v>3.0882843565999116E-2</v>
      </c>
      <c r="W45" s="2"/>
      <c r="X45" s="7">
        <f t="shared" si="26"/>
        <v>-12992.11</v>
      </c>
      <c r="Y45" s="2"/>
      <c r="Z45" s="6">
        <f t="shared" si="27"/>
        <v>-0.94832919708029206</v>
      </c>
    </row>
    <row r="46" spans="1:26" s="28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5.9047562811844942E-4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160</v>
      </c>
      <c r="U46" s="1"/>
      <c r="V46" s="5">
        <f t="shared" si="25"/>
        <v>3.6067554529634006E-4</v>
      </c>
      <c r="W46" s="1"/>
      <c r="X46" s="1">
        <f t="shared" si="26"/>
        <v>-160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5.9047562811844942E-4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160</v>
      </c>
      <c r="U47" s="2"/>
      <c r="V47" s="6">
        <f t="shared" si="25"/>
        <v>3.6067554529634006E-4</v>
      </c>
      <c r="W47" s="2"/>
      <c r="X47" s="7">
        <f t="shared" si="26"/>
        <v>-160</v>
      </c>
      <c r="Y47" s="2"/>
      <c r="Z47" s="6">
        <f t="shared" si="27"/>
        <v>-1</v>
      </c>
    </row>
    <row r="48" spans="1:26" s="28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2.9523781405922471E-4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5.4046612654045596E-6</v>
      </c>
      <c r="S48" s="1"/>
      <c r="T48" s="1">
        <f>SUM(OSRRefT22_5x_0)</f>
        <v>80</v>
      </c>
      <c r="U48" s="1"/>
      <c r="V48" s="5">
        <f t="shared" si="25"/>
        <v>1.8033777264817003E-4</v>
      </c>
      <c r="W48" s="1"/>
      <c r="X48" s="1">
        <f t="shared" si="26"/>
        <v>-77.88</v>
      </c>
      <c r="Y48" s="1"/>
      <c r="Z48" s="5">
        <f t="shared" si="27"/>
        <v>-0.97349999999999992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4.129977004695937E-6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2.9523781405922471E-4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1.2746842607086224E-6</v>
      </c>
      <c r="S50" s="2"/>
      <c r="T50" s="7">
        <v>80</v>
      </c>
      <c r="U50" s="2"/>
      <c r="V50" s="6">
        <f t="shared" si="25"/>
        <v>1.8033777264817003E-4</v>
      </c>
      <c r="W50" s="2"/>
      <c r="X50" s="7">
        <f t="shared" si="26"/>
        <v>-79.5</v>
      </c>
      <c r="Y50" s="2"/>
      <c r="Z50" s="6">
        <f t="shared" si="27"/>
        <v>-0.99375000000000002</v>
      </c>
    </row>
    <row r="51" spans="1:26" s="28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1.4761890702961235E-3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400</v>
      </c>
      <c r="U51" s="1"/>
      <c r="V51" s="5">
        <f t="shared" ref="V51:V61" si="33">IF(T$12=0,0,T51/T$12)</f>
        <v>9.016888632408501E-4</v>
      </c>
      <c r="W51" s="1"/>
      <c r="X51" s="1">
        <f t="shared" ref="X51:X61" si="34">+P51-T51</f>
        <v>-400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1.4761890702961235E-3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400</v>
      </c>
      <c r="U52" s="2"/>
      <c r="V52" s="6">
        <f t="shared" si="33"/>
        <v>9.016888632408501E-4</v>
      </c>
      <c r="W52" s="2"/>
      <c r="X52" s="7">
        <f t="shared" si="34"/>
        <v>-400</v>
      </c>
      <c r="Y52" s="2"/>
      <c r="Z52" s="6">
        <f t="shared" si="35"/>
        <v>-1</v>
      </c>
    </row>
    <row r="53" spans="1:26" s="28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1.2837419240640765E-3</v>
      </c>
      <c r="G53" s="1"/>
      <c r="H53" s="1">
        <f>SUM(OSRRefH22_7x_0)</f>
        <v>33</v>
      </c>
      <c r="I53" s="1"/>
      <c r="J53" s="5">
        <f t="shared" si="29"/>
        <v>9.7428478639544156E-4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232.08</v>
      </c>
      <c r="Q53" s="1"/>
      <c r="R53" s="5">
        <f t="shared" si="32"/>
        <v>5.9165744645051424E-4</v>
      </c>
      <c r="S53" s="1"/>
      <c r="T53" s="1">
        <f>SUM(OSRRefT22_7x_0)</f>
        <v>264</v>
      </c>
      <c r="U53" s="1"/>
      <c r="V53" s="5">
        <f t="shared" si="33"/>
        <v>5.9511464973896109E-4</v>
      </c>
      <c r="W53" s="1"/>
      <c r="X53" s="1">
        <f t="shared" si="34"/>
        <v>-31.919999999999987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1.2837419240640765E-3</v>
      </c>
      <c r="G54" s="2"/>
      <c r="H54" s="7">
        <v>33</v>
      </c>
      <c r="I54" s="2"/>
      <c r="J54" s="6">
        <f t="shared" si="29"/>
        <v>9.7428478639544156E-4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232.08</v>
      </c>
      <c r="Q54" s="2"/>
      <c r="R54" s="6">
        <f t="shared" si="32"/>
        <v>5.9165744645051424E-4</v>
      </c>
      <c r="S54" s="2"/>
      <c r="T54" s="7">
        <v>264</v>
      </c>
      <c r="U54" s="2"/>
      <c r="V54" s="6">
        <f t="shared" si="33"/>
        <v>5.9511464973896109E-4</v>
      </c>
      <c r="W54" s="2"/>
      <c r="X54" s="7">
        <f t="shared" si="34"/>
        <v>-31.919999999999987</v>
      </c>
      <c r="Y54" s="2"/>
      <c r="Z54" s="6">
        <f t="shared" si="35"/>
        <v>-0.12090909090909085</v>
      </c>
    </row>
    <row r="55" spans="1:26" s="28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3.5401362952473668E-2</v>
      </c>
      <c r="G55" s="1"/>
      <c r="H55" s="1">
        <f>SUM(OSRRefH22_8x_0)</f>
        <v>800</v>
      </c>
      <c r="I55" s="1"/>
      <c r="J55" s="5">
        <f t="shared" si="29"/>
        <v>2.3619025124737975E-2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6400</v>
      </c>
      <c r="Q55" s="1"/>
      <c r="R55" s="5">
        <f t="shared" si="32"/>
        <v>1.6315958537070369E-2</v>
      </c>
      <c r="S55" s="1"/>
      <c r="T55" s="1">
        <f>SUM(OSRRefT22_8x_0)</f>
        <v>6400</v>
      </c>
      <c r="U55" s="1"/>
      <c r="V55" s="5">
        <f t="shared" si="33"/>
        <v>1.4427021811853602E-2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3.5401362952473668E-2</v>
      </c>
      <c r="G56" s="2"/>
      <c r="H56" s="7">
        <v>800</v>
      </c>
      <c r="I56" s="2"/>
      <c r="J56" s="6">
        <f t="shared" si="29"/>
        <v>2.3619025124737975E-2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6400</v>
      </c>
      <c r="Q56" s="2"/>
      <c r="R56" s="6">
        <f t="shared" si="32"/>
        <v>1.6315958537070369E-2</v>
      </c>
      <c r="S56" s="2"/>
      <c r="T56" s="7">
        <v>6400</v>
      </c>
      <c r="U56" s="2"/>
      <c r="V56" s="6">
        <f t="shared" si="33"/>
        <v>1.4427021811853602E-2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4.4285672108883706E-2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126914.90000000001</v>
      </c>
      <c r="Q57" s="1"/>
      <c r="R57" s="5">
        <f t="shared" si="32"/>
        <v>0.32355285095881753</v>
      </c>
      <c r="S57" s="1"/>
      <c r="T57" s="1">
        <f>SUM(OSRRefT22_9x_0)</f>
        <v>137000</v>
      </c>
      <c r="U57" s="1"/>
      <c r="V57" s="5">
        <f t="shared" si="33"/>
        <v>0.30882843565999119</v>
      </c>
      <c r="W57" s="1"/>
      <c r="X57" s="1">
        <f t="shared" si="34"/>
        <v>-10085.099999999991</v>
      </c>
      <c r="Y57" s="1"/>
      <c r="Z57" s="5">
        <f t="shared" si="35"/>
        <v>-7.3613868613138622E-2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0.28177776976276564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4.4285672108883706E-2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12000</v>
      </c>
      <c r="U59" s="2"/>
      <c r="V59" s="6">
        <f t="shared" si="33"/>
        <v>2.7050665897225504E-2</v>
      </c>
      <c r="W59" s="2"/>
      <c r="X59" s="7">
        <f t="shared" si="34"/>
        <v>-12000</v>
      </c>
      <c r="Y59" s="2"/>
      <c r="Z59" s="6">
        <f t="shared" si="35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0.30682389472127758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1.6728956237539963E-2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11.55</v>
      </c>
      <c r="E62" s="1"/>
      <c r="F62" s="5">
        <f t="shared" ref="F62:F64" si="36">IF(D$12=0,0,D62/D$12)</f>
        <v>5.1110717762633867E-4</v>
      </c>
      <c r="G62" s="1"/>
      <c r="H62" s="1">
        <f>SUM(OSRRefH22_10x_0)</f>
        <v>7000</v>
      </c>
      <c r="I62" s="1"/>
      <c r="J62" s="5">
        <f t="shared" ref="J62:J64" si="37">IF(H$12=0,0,H62/H$12)</f>
        <v>0.20666646984145728</v>
      </c>
      <c r="K62" s="1"/>
      <c r="L62" s="1">
        <f t="shared" ref="L62:L64" si="38">+D62-H62</f>
        <v>-6988.45</v>
      </c>
      <c r="M62" s="1"/>
      <c r="N62" s="5">
        <f t="shared" ref="N62:N64" si="39">IF(H62=0,0,L62/H62)</f>
        <v>-0.99834999999999996</v>
      </c>
      <c r="O62" s="14"/>
      <c r="P62" s="1">
        <f>SUM(OSRRefP22_10x_0)</f>
        <v>42058.17</v>
      </c>
      <c r="Q62" s="1"/>
      <c r="R62" s="5">
        <f t="shared" ref="R62:R64" si="40">IF(P$12=0,0,P62/P$12)</f>
        <v>0.10722177466641512</v>
      </c>
      <c r="S62" s="1"/>
      <c r="T62" s="1">
        <f>SUM(OSRRefT22_10x_0)</f>
        <v>56000</v>
      </c>
      <c r="U62" s="1"/>
      <c r="V62" s="5">
        <f t="shared" ref="V62:V64" si="41">IF(T$12=0,0,T62/T$12)</f>
        <v>0.12623644085371902</v>
      </c>
      <c r="W62" s="1"/>
      <c r="X62" s="1">
        <f t="shared" ref="X62:X64" si="42">+P62-T62</f>
        <v>-13941.830000000002</v>
      </c>
      <c r="Y62" s="1"/>
      <c r="Z62" s="5">
        <f t="shared" ref="Z62:Z64" si="43">IF(T62=0,0,X62/T62)</f>
        <v>-0.24896125000000002</v>
      </c>
    </row>
    <row r="63" spans="1:26" s="24" customFormat="1" hidden="1" outlineLevel="2" x14ac:dyDescent="0.25">
      <c r="A63" s="27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0.20666646984145728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56000</v>
      </c>
      <c r="U63" s="2"/>
      <c r="V63" s="6">
        <f t="shared" si="41"/>
        <v>0.12623644085371902</v>
      </c>
      <c r="W63" s="2"/>
      <c r="X63" s="7">
        <f t="shared" si="42"/>
        <v>-56000</v>
      </c>
      <c r="Y63" s="2"/>
      <c r="Z63" s="6">
        <f t="shared" si="43"/>
        <v>-1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7">
        <v>11.55</v>
      </c>
      <c r="E64" s="2"/>
      <c r="F64" s="6">
        <f t="shared" si="36"/>
        <v>5.1110717762633867E-4</v>
      </c>
      <c r="G64" s="2"/>
      <c r="H64" s="7"/>
      <c r="I64" s="2"/>
      <c r="J64" s="6">
        <f t="shared" si="37"/>
        <v>0</v>
      </c>
      <c r="K64" s="2"/>
      <c r="L64" s="7">
        <f t="shared" si="38"/>
        <v>11.55</v>
      </c>
      <c r="M64" s="2"/>
      <c r="N64" s="6">
        <f t="shared" si="39"/>
        <v>0</v>
      </c>
      <c r="O64" s="11"/>
      <c r="P64" s="7">
        <v>42058.17</v>
      </c>
      <c r="Q64" s="2"/>
      <c r="R64" s="6">
        <f t="shared" si="40"/>
        <v>0.10722177466641512</v>
      </c>
      <c r="S64" s="2"/>
      <c r="T64" s="7"/>
      <c r="U64" s="2"/>
      <c r="V64" s="6">
        <f t="shared" si="41"/>
        <v>0</v>
      </c>
      <c r="W64" s="2"/>
      <c r="X64" s="7">
        <f t="shared" si="42"/>
        <v>42058.17</v>
      </c>
      <c r="Y64" s="2"/>
      <c r="Z64" s="6">
        <f t="shared" si="43"/>
        <v>0</v>
      </c>
    </row>
    <row r="65" spans="1:26" s="28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86.45</v>
      </c>
      <c r="E65" s="1"/>
      <c r="F65" s="5">
        <f t="shared" ref="F65:F66" si="44">IF(D$12=0,0,D65/D$12)</f>
        <v>3.8255597840516861E-3</v>
      </c>
      <c r="G65" s="1"/>
      <c r="H65" s="1">
        <f>SUM(OSRRefH22_11x_0)</f>
        <v>700</v>
      </c>
      <c r="I65" s="1"/>
      <c r="J65" s="5">
        <f t="shared" ref="J65:J66" si="45">IF(H$12=0,0,H65/H$12)</f>
        <v>2.0666646984145731E-2</v>
      </c>
      <c r="K65" s="1"/>
      <c r="L65" s="1">
        <f t="shared" ref="L65:L66" si="46">+D65-H65</f>
        <v>-613.54999999999995</v>
      </c>
      <c r="M65" s="1"/>
      <c r="N65" s="5">
        <f t="shared" ref="N65:N66" si="47">IF(H65=0,0,L65/H65)</f>
        <v>-0.87649999999999995</v>
      </c>
      <c r="O65" s="14"/>
      <c r="P65" s="1">
        <f>SUM(OSRRefP22_11x_0)</f>
        <v>1624.83</v>
      </c>
      <c r="Q65" s="1"/>
      <c r="R65" s="5">
        <f t="shared" ref="R65:R66" si="48">IF(P$12=0,0,P65/P$12)</f>
        <v>4.1422904546543817E-3</v>
      </c>
      <c r="S65" s="1"/>
      <c r="T65" s="1">
        <f>SUM(OSRRefT22_11x_0)</f>
        <v>5600</v>
      </c>
      <c r="U65" s="1"/>
      <c r="V65" s="5">
        <f t="shared" ref="V65:V66" si="49">IF(T$12=0,0,T65/T$12)</f>
        <v>1.2623644085371902E-2</v>
      </c>
      <c r="W65" s="1"/>
      <c r="X65" s="1">
        <f t="shared" ref="X65:X66" si="50">+P65-T65</f>
        <v>-3975.17</v>
      </c>
      <c r="Y65" s="1"/>
      <c r="Z65" s="5">
        <f t="shared" ref="Z65:Z66" si="51">IF(T65=0,0,X65/T65)</f>
        <v>-0.70985178571428575</v>
      </c>
    </row>
    <row r="66" spans="1:26" s="24" customFormat="1" hidden="1" outlineLevel="2" x14ac:dyDescent="0.25">
      <c r="A66" s="27"/>
      <c r="B66" s="11" t="str">
        <f>CONCATENATE("          ", "6309", " - ", "TELEPHONE")</f>
        <v xml:space="preserve">          6309 - TELEPHONE</v>
      </c>
      <c r="C66" s="11"/>
      <c r="D66" s="7">
        <v>86.45</v>
      </c>
      <c r="E66" s="2"/>
      <c r="F66" s="6">
        <f t="shared" si="44"/>
        <v>3.8255597840516861E-3</v>
      </c>
      <c r="G66" s="2"/>
      <c r="H66" s="7">
        <v>700</v>
      </c>
      <c r="I66" s="2"/>
      <c r="J66" s="6">
        <f t="shared" si="45"/>
        <v>2.0666646984145731E-2</v>
      </c>
      <c r="K66" s="2"/>
      <c r="L66" s="7">
        <f t="shared" si="46"/>
        <v>-613.54999999999995</v>
      </c>
      <c r="M66" s="2"/>
      <c r="N66" s="6">
        <f t="shared" si="47"/>
        <v>-0.87649999999999995</v>
      </c>
      <c r="O66" s="11"/>
      <c r="P66" s="7">
        <v>1624.83</v>
      </c>
      <c r="Q66" s="2"/>
      <c r="R66" s="6">
        <f t="shared" si="48"/>
        <v>4.1422904546543817E-3</v>
      </c>
      <c r="S66" s="2"/>
      <c r="T66" s="7">
        <v>5600</v>
      </c>
      <c r="U66" s="2"/>
      <c r="V66" s="6">
        <f t="shared" si="49"/>
        <v>1.2623644085371902E-2</v>
      </c>
      <c r="W66" s="2"/>
      <c r="X66" s="7">
        <f t="shared" si="50"/>
        <v>-3975.17</v>
      </c>
      <c r="Y66" s="2"/>
      <c r="Z66" s="6">
        <f t="shared" si="51"/>
        <v>-0.70985178571428575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231.48</v>
      </c>
      <c r="E68" s="4"/>
      <c r="F68" s="12">
        <f t="shared" ref="F68:F69" si="52">IF(D$12=0,0,D68/D$12)</f>
        <v>1.0243384370298257E-2</v>
      </c>
      <c r="G68" s="4"/>
      <c r="H68" s="4">
        <f>SUM(OSRRefH25x_0)</f>
        <v>3700</v>
      </c>
      <c r="I68" s="4"/>
      <c r="J68" s="12">
        <f t="shared" ref="J68:J69" si="53">IF(H$12=0,0,H68/H$12)</f>
        <v>0.10923799120191315</v>
      </c>
      <c r="K68" s="4"/>
      <c r="L68" s="4">
        <f t="shared" ref="L68:L69" si="54">+D68-H68</f>
        <v>-3468.52</v>
      </c>
      <c r="M68" s="4"/>
      <c r="N68" s="12">
        <f t="shared" ref="N68:N69" si="55">IF(H68=0,0,L68/H68)</f>
        <v>-0.93743783783783785</v>
      </c>
      <c r="O68" s="10"/>
      <c r="P68" s="4">
        <f>SUM(OSRRefP25x_0)</f>
        <v>1728.68</v>
      </c>
      <c r="Q68" s="4"/>
      <c r="R68" s="12">
        <f t="shared" ref="R68:R69" si="56">IF(P$12=0,0,P68/P$12)</f>
        <v>4.4070423756035629E-3</v>
      </c>
      <c r="S68" s="4"/>
      <c r="T68" s="4">
        <f>SUM(OSRRefT25x_0)</f>
        <v>23150</v>
      </c>
      <c r="U68" s="4"/>
      <c r="V68" s="12">
        <f t="shared" ref="V68:V69" si="57">IF(T$12=0,0,T68/T$12)</f>
        <v>5.2185242960064201E-2</v>
      </c>
      <c r="W68" s="4"/>
      <c r="X68" s="4">
        <f t="shared" ref="X68:X69" si="58">+P68-T68</f>
        <v>-21421.32</v>
      </c>
      <c r="Y68" s="4"/>
      <c r="Z68" s="12">
        <f t="shared" ref="Z68:Z69" si="59">IF(T68=0,0,X68/T68)</f>
        <v>-0.9253269978401728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--231.48</f>
        <v>231.48</v>
      </c>
      <c r="E69" s="2"/>
      <c r="F69" s="22">
        <f t="shared" si="52"/>
        <v>1.0243384370298257E-2</v>
      </c>
      <c r="G69" s="2"/>
      <c r="H69" s="2">
        <v>3700</v>
      </c>
      <c r="I69" s="2"/>
      <c r="J69" s="22">
        <f t="shared" si="53"/>
        <v>0.10923799120191315</v>
      </c>
      <c r="K69" s="2"/>
      <c r="L69" s="2">
        <f t="shared" si="54"/>
        <v>-3468.52</v>
      </c>
      <c r="M69" s="2"/>
      <c r="N69" s="22">
        <f t="shared" si="55"/>
        <v>-0.93743783783783785</v>
      </c>
      <c r="O69" s="11"/>
      <c r="P69" s="2">
        <f>--1728.68</f>
        <v>1728.68</v>
      </c>
      <c r="Q69" s="2"/>
      <c r="R69" s="22">
        <f t="shared" si="56"/>
        <v>4.4070423756035629E-3</v>
      </c>
      <c r="S69" s="2"/>
      <c r="T69" s="2">
        <v>23150</v>
      </c>
      <c r="U69" s="2"/>
      <c r="V69" s="22">
        <f t="shared" si="57"/>
        <v>5.2185242960064201E-2</v>
      </c>
      <c r="W69" s="2"/>
      <c r="X69" s="2">
        <f t="shared" si="58"/>
        <v>-21421.32</v>
      </c>
      <c r="Y69" s="2"/>
      <c r="Z69" s="22">
        <f t="shared" si="59"/>
        <v>-0.9253269978401728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19">
        <f>+D17-D19+D68</f>
        <v>4995.0099999999984</v>
      </c>
      <c r="E71" s="13"/>
      <c r="F71" s="21">
        <f>IF(D$12=0,0,D71/D$12)</f>
        <v>0.2210377024515443</v>
      </c>
      <c r="G71" s="13"/>
      <c r="H71" s="19">
        <f>+H17-H19+H68</f>
        <v>5018.7436511846136</v>
      </c>
      <c r="I71" s="13"/>
      <c r="J71" s="21">
        <f>IF(H$12=0,0,H71/H$12)</f>
        <v>0.14817229048993574</v>
      </c>
      <c r="K71" s="15"/>
      <c r="L71" s="19">
        <f>+D71-H71</f>
        <v>-23.733651184615155</v>
      </c>
      <c r="M71" s="15"/>
      <c r="N71" s="21">
        <f>IF(H71=0,0,L71/H71)</f>
        <v>-4.7290024823270493E-3</v>
      </c>
      <c r="O71" s="26"/>
      <c r="P71" s="19">
        <f>+P17-P19+P68</f>
        <v>67101.919999999984</v>
      </c>
      <c r="Q71" s="13"/>
      <c r="R71" s="21">
        <f>IF(P$12=0,0,P71/P$12)</f>
        <v>0.17106752257465821</v>
      </c>
      <c r="S71" s="13"/>
      <c r="T71" s="19">
        <f>+T17-T19+T68</f>
        <v>67265.784847915405</v>
      </c>
      <c r="U71" s="13"/>
      <c r="V71" s="21">
        <f>IF(T$12=0,0,T71/T$12)</f>
        <v>0.1516320226863011</v>
      </c>
      <c r="W71" s="15"/>
      <c r="X71" s="19">
        <f>+P71-T71</f>
        <v>-163.86484791542171</v>
      </c>
      <c r="Y71" s="15"/>
      <c r="Z71" s="21">
        <f>IF(T71=0,0,X71/T71)</f>
        <v>-2.4360802194743135E-3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10577.98</v>
      </c>
      <c r="E73" s="4"/>
      <c r="F73" s="12">
        <f>IF(D$12=0,0,D73/D$12)</f>
        <v>0.4680936366050093</v>
      </c>
      <c r="G73" s="4"/>
      <c r="H73" s="4">
        <v>5185</v>
      </c>
      <c r="I73" s="4"/>
      <c r="J73" s="12">
        <f>IF(H$12=0,0,H73/H$12)</f>
        <v>0.15308080658970802</v>
      </c>
      <c r="K73" s="4"/>
      <c r="L73" s="4">
        <f>+D73-H73</f>
        <v>5392.98</v>
      </c>
      <c r="M73" s="4"/>
      <c r="N73" s="12">
        <f>IF(H73=0,0,L73/H73)</f>
        <v>1.0401118611378977</v>
      </c>
      <c r="O73" s="10"/>
      <c r="P73" s="4">
        <v>77680.320000000007</v>
      </c>
      <c r="Q73" s="4"/>
      <c r="R73" s="12">
        <f>IF(P$12=0,0,P73/P$12)</f>
        <v>0.19803576254161845</v>
      </c>
      <c r="S73" s="4"/>
      <c r="T73" s="4">
        <v>76293</v>
      </c>
      <c r="U73" s="4"/>
      <c r="V73" s="12">
        <f>IF(T$12=0,0,T73/T$12)</f>
        <v>0.17198137110808545</v>
      </c>
      <c r="W73" s="4"/>
      <c r="X73" s="4">
        <f>+P73-T73</f>
        <v>1387.320000000007</v>
      </c>
      <c r="Y73" s="4"/>
      <c r="Z73" s="12">
        <f>IF(T73=0,0,X73/T73)</f>
        <v>1.8184106012347226E-2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-5582.9700000000012</v>
      </c>
      <c r="E75" s="13"/>
      <c r="F75" s="30">
        <f>IF(D$12=0,0,D75/D$12)</f>
        <v>-0.24705593415346497</v>
      </c>
      <c r="G75" s="13"/>
      <c r="H75" s="34">
        <f>+H71-H73</f>
        <v>-166.25634881538645</v>
      </c>
      <c r="I75" s="13"/>
      <c r="J75" s="30">
        <f>IF(H$12=0,0,H75/H$12)</f>
        <v>-4.9085160997722668E-3</v>
      </c>
      <c r="K75" s="15"/>
      <c r="L75" s="34">
        <f>D75-H75</f>
        <v>-5416.7136511846147</v>
      </c>
      <c r="M75" s="15"/>
      <c r="N75" s="30">
        <f>IF(H75=0,0,L75/H75)</f>
        <v>32.580492052062418</v>
      </c>
      <c r="O75" s="26"/>
      <c r="P75" s="34">
        <f>+P71-P73</f>
        <v>-10578.400000000023</v>
      </c>
      <c r="Q75" s="13"/>
      <c r="R75" s="30">
        <f>IF(P$12=0,0,P75/P$12)</f>
        <v>-2.6968239966960243E-2</v>
      </c>
      <c r="S75" s="13"/>
      <c r="T75" s="34">
        <f>+T71-T73</f>
        <v>-9027.2151520845946</v>
      </c>
      <c r="U75" s="13"/>
      <c r="V75" s="30">
        <f>IF(T$12=0,0,T75/T$12)</f>
        <v>-2.034934842178434E-2</v>
      </c>
      <c r="W75" s="15"/>
      <c r="X75" s="34">
        <f>P75-T75</f>
        <v>-1551.1848479154287</v>
      </c>
      <c r="Y75" s="15"/>
      <c r="Z75" s="30">
        <f>IF(T75=0,0,X75/T75)</f>
        <v>0.17183426137320146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5">
        <f>SUM(D75:D77)</f>
        <v>-5582.9700000000012</v>
      </c>
      <c r="E78" s="13"/>
      <c r="F78" s="31">
        <f>IF(D$12=0,0,D78/D$12)</f>
        <v>-0.24705593415346497</v>
      </c>
      <c r="G78" s="13"/>
      <c r="H78" s="35">
        <f>SUM(H75:H77)</f>
        <v>-166.25634881538645</v>
      </c>
      <c r="I78" s="13"/>
      <c r="J78" s="31">
        <f>IF(H$12=0,0,H78/H$12)</f>
        <v>-4.9085160997722668E-3</v>
      </c>
      <c r="K78" s="15"/>
      <c r="L78" s="35">
        <f>+D78-H78</f>
        <v>-5416.7136511846147</v>
      </c>
      <c r="M78" s="15"/>
      <c r="N78" s="31">
        <f>IF(H78=0,0,L78/H78)</f>
        <v>32.580492052062418</v>
      </c>
      <c r="O78" s="26"/>
      <c r="P78" s="35">
        <f>SUM(P75:P77)</f>
        <v>-10578.400000000023</v>
      </c>
      <c r="Q78" s="13"/>
      <c r="R78" s="31">
        <f>IF(P$12=0,0,P78/P$12)</f>
        <v>-2.6968239966960243E-2</v>
      </c>
      <c r="S78" s="13"/>
      <c r="T78" s="35">
        <f>SUM(T75:T77)</f>
        <v>-9027.2151520845946</v>
      </c>
      <c r="U78" s="13"/>
      <c r="V78" s="31">
        <f>IF(T$12=0,0,T78/T$12)</f>
        <v>-2.034934842178434E-2</v>
      </c>
      <c r="W78" s="15"/>
      <c r="X78" s="35">
        <f>+P78-T78</f>
        <v>-1551.1848479154287</v>
      </c>
      <c r="Y78" s="15"/>
      <c r="Z78" s="31">
        <f>IF(T78=0,0,X78/T78)</f>
        <v>0.17183426137320146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3">
        <v>44267.671531828702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 t="s">
        <v>314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str">
        <f>CONCATENATE("Period ",RIGHT(202108,2),", ",2021)</f>
        <v>Period 08,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>
        <v>44254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22598</v>
      </c>
      <c r="E12" s="4"/>
      <c r="F12" s="12"/>
      <c r="G12" s="4"/>
      <c r="H12" s="4">
        <f>SUM(OSRRefH13x_0)</f>
        <v>33871</v>
      </c>
      <c r="I12" s="4"/>
      <c r="J12" s="12"/>
      <c r="K12" s="4"/>
      <c r="L12" s="4">
        <f t="shared" ref="L12:L13" si="0">+D12-H12</f>
        <v>-11273</v>
      </c>
      <c r="M12" s="4"/>
      <c r="N12" s="12">
        <f t="shared" ref="N12:N13" si="1">IF(H12=0,0,L12/H12)</f>
        <v>-0.33282158778896404</v>
      </c>
      <c r="O12" s="10"/>
      <c r="P12" s="4">
        <f>SUM(OSRRefP13x_0)</f>
        <v>392254</v>
      </c>
      <c r="Q12" s="4"/>
      <c r="R12" s="12"/>
      <c r="S12" s="4"/>
      <c r="T12" s="4">
        <f>SUM(OSRRefT13x_0)</f>
        <v>443612</v>
      </c>
      <c r="U12" s="4"/>
      <c r="V12" s="12"/>
      <c r="W12" s="4"/>
      <c r="X12" s="4">
        <f t="shared" ref="X12:X13" si="2">+P12-T12</f>
        <v>-51358</v>
      </c>
      <c r="Y12" s="4"/>
      <c r="Z12" s="12">
        <f t="shared" ref="Z12:Z13" si="3">IF(T12=0,0,X12/T12)</f>
        <v>-0.11577234159580894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--22598</f>
        <v>22598</v>
      </c>
      <c r="E13" s="2"/>
      <c r="F13" s="22"/>
      <c r="G13" s="2"/>
      <c r="H13" s="2">
        <v>33871</v>
      </c>
      <c r="I13" s="2"/>
      <c r="J13" s="22"/>
      <c r="K13" s="2"/>
      <c r="L13" s="2">
        <f t="shared" si="0"/>
        <v>-11273</v>
      </c>
      <c r="M13" s="2"/>
      <c r="N13" s="22">
        <f t="shared" si="1"/>
        <v>-0.33282158778896404</v>
      </c>
      <c r="O13" s="11"/>
      <c r="P13" s="2">
        <f>--392254</f>
        <v>392254</v>
      </c>
      <c r="Q13" s="2"/>
      <c r="R13" s="22"/>
      <c r="S13" s="2"/>
      <c r="T13" s="2">
        <v>443612</v>
      </c>
      <c r="U13" s="2"/>
      <c r="V13" s="22"/>
      <c r="W13" s="2"/>
      <c r="X13" s="2">
        <f t="shared" si="2"/>
        <v>-51358</v>
      </c>
      <c r="Y13" s="2"/>
      <c r="Z13" s="22">
        <f t="shared" si="3"/>
        <v>-0.11577234159580894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19">
        <f>D12-D15</f>
        <v>22598</v>
      </c>
      <c r="E17" s="13"/>
      <c r="F17" s="21">
        <f>IF(D$12=0,0,D17/D$12)</f>
        <v>1</v>
      </c>
      <c r="G17" s="13"/>
      <c r="H17" s="19">
        <f>H12-H15</f>
        <v>33871</v>
      </c>
      <c r="I17" s="13"/>
      <c r="J17" s="21">
        <f>IF(H$12=0,0,H17/H$12)</f>
        <v>1</v>
      </c>
      <c r="K17" s="15"/>
      <c r="L17" s="19">
        <f>+D17-H17</f>
        <v>-11273</v>
      </c>
      <c r="M17" s="15"/>
      <c r="N17" s="21">
        <f>IF(H17=0,0,L17/H17)</f>
        <v>-0.33282158778896404</v>
      </c>
      <c r="O17" s="26"/>
      <c r="P17" s="19">
        <f>P12-P15</f>
        <v>392254</v>
      </c>
      <c r="Q17" s="13"/>
      <c r="R17" s="21">
        <f>IF(P$12=0,0,P17/P$12)</f>
        <v>1</v>
      </c>
      <c r="S17" s="13"/>
      <c r="T17" s="19">
        <f>T12-T15</f>
        <v>443612</v>
      </c>
      <c r="U17" s="13"/>
      <c r="V17" s="21">
        <f>IF(T$12=0,0,T17/T$12)</f>
        <v>1</v>
      </c>
      <c r="W17" s="15"/>
      <c r="X17" s="19">
        <f>+P17-T17</f>
        <v>-51358</v>
      </c>
      <c r="Y17" s="15"/>
      <c r="Z17" s="21">
        <f>IF(T17=0,0,X17/T17)</f>
        <v>-0.11577234159580894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17834.47</v>
      </c>
      <c r="E19" s="20"/>
      <c r="F19" s="33">
        <f t="shared" ref="F19:F30" si="4">IF(D$12=0,0,D19/D$12)</f>
        <v>0.78920568191875395</v>
      </c>
      <c r="G19" s="20"/>
      <c r="H19" s="20">
        <f>SUM(OSRRefH22x_0)</f>
        <v>32552.256348815386</v>
      </c>
      <c r="I19" s="20"/>
      <c r="J19" s="33">
        <f t="shared" ref="J19:J30" si="5">IF(H$12=0,0,H19/H$12)</f>
        <v>0.96106570071197739</v>
      </c>
      <c r="K19" s="4"/>
      <c r="L19" s="20">
        <f t="shared" ref="L19:L30" si="6">+D19-H19</f>
        <v>-14717.786348815385</v>
      </c>
      <c r="M19" s="4"/>
      <c r="N19" s="33">
        <f t="shared" ref="N19:N30" si="7">IF(H19=0,0,L19/H19)</f>
        <v>-0.45212799355922317</v>
      </c>
      <c r="O19" s="10"/>
      <c r="P19" s="20">
        <f>SUM(OSRRefP22x_0)</f>
        <v>326880.76</v>
      </c>
      <c r="Q19" s="20"/>
      <c r="R19" s="33">
        <f t="shared" ref="R19:R30" si="8">IF(P$12=0,0,P19/P$12)</f>
        <v>0.83333951980094534</v>
      </c>
      <c r="S19" s="20"/>
      <c r="T19" s="20">
        <f>SUM(OSRRefT22x_0)</f>
        <v>399496.21515208459</v>
      </c>
      <c r="U19" s="20"/>
      <c r="V19" s="33">
        <f t="shared" ref="V19:V30" si="9">IF(T$12=0,0,T19/T$12)</f>
        <v>0.90055322027376306</v>
      </c>
      <c r="W19" s="4"/>
      <c r="X19" s="20">
        <f t="shared" ref="X19:X30" si="10">+P19-T19</f>
        <v>-72615.455152084585</v>
      </c>
      <c r="Y19" s="4"/>
      <c r="Z19" s="33">
        <f t="shared" ref="Z19:Z30" si="11">IF(T19=0,0,X19/T19)</f>
        <v>-0.18176756724576362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3867.33</v>
      </c>
      <c r="E20" s="1"/>
      <c r="F20" s="5">
        <f t="shared" si="4"/>
        <v>0.17113594123373749</v>
      </c>
      <c r="G20" s="1"/>
      <c r="H20" s="1">
        <f>SUM(OSRRefH22_0x_0)</f>
        <v>3676.1897795846162</v>
      </c>
      <c r="I20" s="1"/>
      <c r="J20" s="5">
        <f t="shared" si="5"/>
        <v>0.10853502345914251</v>
      </c>
      <c r="K20" s="1"/>
      <c r="L20" s="1">
        <f t="shared" si="6"/>
        <v>191.14022041538374</v>
      </c>
      <c r="M20" s="1"/>
      <c r="N20" s="5">
        <f t="shared" si="7"/>
        <v>5.1994111260757939E-2</v>
      </c>
      <c r="O20" s="14"/>
      <c r="P20" s="1">
        <f>SUM(OSRRefP22_0x_0)</f>
        <v>33760.22</v>
      </c>
      <c r="Q20" s="1"/>
      <c r="R20" s="5">
        <f t="shared" si="8"/>
        <v>8.6067242144120898E-2</v>
      </c>
      <c r="S20" s="1"/>
      <c r="T20" s="1">
        <f>SUM(OSRRefT22_0x_0)</f>
        <v>33529.712871315387</v>
      </c>
      <c r="U20" s="1"/>
      <c r="V20" s="5">
        <f t="shared" si="9"/>
        <v>7.5583421709321183E-2</v>
      </c>
      <c r="W20" s="1"/>
      <c r="X20" s="1">
        <f t="shared" si="10"/>
        <v>230.50712868461414</v>
      </c>
      <c r="Y20" s="1"/>
      <c r="Z20" s="5">
        <f t="shared" si="11"/>
        <v>6.8747122759232632E-3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996.29</v>
      </c>
      <c r="E21" s="2"/>
      <c r="F21" s="6">
        <f t="shared" si="4"/>
        <v>4.4087529869899993E-2</v>
      </c>
      <c r="G21" s="2"/>
      <c r="H21" s="7">
        <v>726.12499943076909</v>
      </c>
      <c r="I21" s="2"/>
      <c r="J21" s="6">
        <f t="shared" si="5"/>
        <v>2.1437955756569604E-2</v>
      </c>
      <c r="K21" s="2"/>
      <c r="L21" s="7">
        <f t="shared" si="6"/>
        <v>270.16500056923087</v>
      </c>
      <c r="M21" s="2"/>
      <c r="N21" s="6">
        <f t="shared" si="7"/>
        <v>0.37206403963645546</v>
      </c>
      <c r="O21" s="11"/>
      <c r="P21" s="7">
        <v>8117.07</v>
      </c>
      <c r="Q21" s="2"/>
      <c r="R21" s="6">
        <f t="shared" si="8"/>
        <v>2.0693402744140277E-2</v>
      </c>
      <c r="S21" s="2"/>
      <c r="T21" s="7">
        <v>8122.5934959692286</v>
      </c>
      <c r="U21" s="2"/>
      <c r="V21" s="6">
        <f t="shared" si="9"/>
        <v>1.8310130239870041E-2</v>
      </c>
      <c r="W21" s="2"/>
      <c r="X21" s="7">
        <f t="shared" si="10"/>
        <v>-5.5234959692288612</v>
      </c>
      <c r="Y21" s="2"/>
      <c r="Z21" s="6">
        <f t="shared" si="11"/>
        <v>-6.8001629922386875E-4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80.06</v>
      </c>
      <c r="E22" s="2"/>
      <c r="F22" s="6">
        <f t="shared" si="4"/>
        <v>3.5427913974688027E-3</v>
      </c>
      <c r="G22" s="2"/>
      <c r="H22" s="7">
        <v>320.28512076923101</v>
      </c>
      <c r="I22" s="2"/>
      <c r="J22" s="6">
        <f t="shared" si="5"/>
        <v>9.4560278931602564E-3</v>
      </c>
      <c r="K22" s="2"/>
      <c r="L22" s="7">
        <f t="shared" si="6"/>
        <v>-240.22512076923101</v>
      </c>
      <c r="M22" s="2"/>
      <c r="N22" s="6">
        <f t="shared" si="7"/>
        <v>-0.7500352192205515</v>
      </c>
      <c r="O22" s="11"/>
      <c r="P22" s="7">
        <v>733.88</v>
      </c>
      <c r="Q22" s="2"/>
      <c r="R22" s="6">
        <f t="shared" si="8"/>
        <v>1.8709305704976878E-3</v>
      </c>
      <c r="S22" s="2"/>
      <c r="T22" s="7">
        <v>2799.0184717307711</v>
      </c>
      <c r="U22" s="2"/>
      <c r="V22" s="6">
        <f t="shared" si="9"/>
        <v>6.3096094599126512E-3</v>
      </c>
      <c r="W22" s="2"/>
      <c r="X22" s="7">
        <f t="shared" si="10"/>
        <v>-2065.138471730771</v>
      </c>
      <c r="Y22" s="2"/>
      <c r="Z22" s="6">
        <f t="shared" si="11"/>
        <v>-0.73780808972432188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1207.95</v>
      </c>
      <c r="E23" s="2"/>
      <c r="F23" s="6">
        <f t="shared" si="4"/>
        <v>5.3453845473050716E-2</v>
      </c>
      <c r="G23" s="2"/>
      <c r="H23" s="7">
        <v>1025</v>
      </c>
      <c r="I23" s="2"/>
      <c r="J23" s="6">
        <f t="shared" si="5"/>
        <v>3.0261875941070531E-2</v>
      </c>
      <c r="K23" s="2"/>
      <c r="L23" s="7">
        <f t="shared" si="6"/>
        <v>182.95000000000005</v>
      </c>
      <c r="M23" s="2"/>
      <c r="N23" s="6">
        <f t="shared" si="7"/>
        <v>0.17848780487804883</v>
      </c>
      <c r="O23" s="11"/>
      <c r="P23" s="7">
        <v>9818.9</v>
      </c>
      <c r="Q23" s="2"/>
      <c r="R23" s="6">
        <f t="shared" si="8"/>
        <v>2.5031994574943785E-2</v>
      </c>
      <c r="S23" s="2"/>
      <c r="T23" s="7">
        <v>8532.5</v>
      </c>
      <c r="U23" s="2"/>
      <c r="V23" s="6">
        <f t="shared" si="9"/>
        <v>1.9234150564006385E-2</v>
      </c>
      <c r="W23" s="2"/>
      <c r="X23" s="7">
        <f t="shared" si="10"/>
        <v>1286.3999999999996</v>
      </c>
      <c r="Y23" s="2"/>
      <c r="Z23" s="6">
        <f t="shared" si="11"/>
        <v>0.15076472311749189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35.479999999999997</v>
      </c>
      <c r="E24" s="2"/>
      <c r="F24" s="6">
        <f t="shared" si="4"/>
        <v>1.5700504469422071E-3</v>
      </c>
      <c r="G24" s="2"/>
      <c r="H24" s="7">
        <v>45.013044000000001</v>
      </c>
      <c r="I24" s="2"/>
      <c r="J24" s="6">
        <f t="shared" si="5"/>
        <v>1.3289552714711701E-3</v>
      </c>
      <c r="K24" s="2"/>
      <c r="L24" s="7">
        <f t="shared" si="6"/>
        <v>-9.5330440000000038</v>
      </c>
      <c r="M24" s="2"/>
      <c r="N24" s="6">
        <f t="shared" si="7"/>
        <v>-0.21178403309049715</v>
      </c>
      <c r="O24" s="11"/>
      <c r="P24" s="7">
        <v>320.04000000000002</v>
      </c>
      <c r="Q24" s="2"/>
      <c r="R24" s="6">
        <f t="shared" si="8"/>
        <v>8.1589990159437514E-4</v>
      </c>
      <c r="S24" s="2"/>
      <c r="T24" s="7">
        <v>393.37556899999998</v>
      </c>
      <c r="U24" s="2"/>
      <c r="V24" s="6">
        <f t="shared" si="9"/>
        <v>8.8675592409583146E-4</v>
      </c>
      <c r="W24" s="2"/>
      <c r="X24" s="7">
        <f t="shared" si="10"/>
        <v>-73.335568999999964</v>
      </c>
      <c r="Y24" s="2"/>
      <c r="Z24" s="6">
        <f t="shared" si="11"/>
        <v>-0.18642634362481206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2.8336578458270645E-2</v>
      </c>
      <c r="G25" s="2"/>
      <c r="H25" s="7">
        <v>560.123953846154</v>
      </c>
      <c r="I25" s="2"/>
      <c r="J25" s="6">
        <f t="shared" si="5"/>
        <v>1.6536977173574857E-2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6420.58</v>
      </c>
      <c r="Q25" s="2"/>
      <c r="R25" s="6">
        <f t="shared" si="8"/>
        <v>1.6368424541241135E-2</v>
      </c>
      <c r="S25" s="2"/>
      <c r="T25" s="7">
        <v>5146.431846153846</v>
      </c>
      <c r="U25" s="2"/>
      <c r="V25" s="6">
        <f t="shared" si="9"/>
        <v>1.1601200702762427E-2</v>
      </c>
      <c r="W25" s="2"/>
      <c r="X25" s="7">
        <f t="shared" si="10"/>
        <v>1274.1481538461539</v>
      </c>
      <c r="Y25" s="2"/>
      <c r="Z25" s="6">
        <f t="shared" si="11"/>
        <v>0.2475789424469656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87.92</v>
      </c>
      <c r="E27" s="2"/>
      <c r="F27" s="6">
        <f t="shared" si="4"/>
        <v>3.8906097884768565E-3</v>
      </c>
      <c r="G27" s="2"/>
      <c r="H27" s="7"/>
      <c r="I27" s="2"/>
      <c r="J27" s="6">
        <f t="shared" si="5"/>
        <v>0</v>
      </c>
      <c r="K27" s="2"/>
      <c r="L27" s="7">
        <f t="shared" si="6"/>
        <v>87.92</v>
      </c>
      <c r="M27" s="2"/>
      <c r="N27" s="6">
        <f t="shared" si="7"/>
        <v>0</v>
      </c>
      <c r="O27" s="11"/>
      <c r="P27" s="7">
        <v>697.86</v>
      </c>
      <c r="Q27" s="2"/>
      <c r="R27" s="6">
        <f t="shared" si="8"/>
        <v>1.7791023163562386E-3</v>
      </c>
      <c r="S27" s="2"/>
      <c r="T27" s="7"/>
      <c r="U27" s="2"/>
      <c r="V27" s="6">
        <f t="shared" si="9"/>
        <v>0</v>
      </c>
      <c r="W27" s="2"/>
      <c r="X27" s="7">
        <f t="shared" si="10"/>
        <v>697.86</v>
      </c>
      <c r="Y27" s="2"/>
      <c r="Z27" s="6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2.3011770953181698E-2</v>
      </c>
      <c r="G28" s="2"/>
      <c r="H28" s="7">
        <v>195.39207692307698</v>
      </c>
      <c r="I28" s="2"/>
      <c r="J28" s="6">
        <f t="shared" si="5"/>
        <v>5.7687129675261135E-3</v>
      </c>
      <c r="K28" s="2"/>
      <c r="L28" s="7">
        <f t="shared" si="6"/>
        <v>324.62792307692303</v>
      </c>
      <c r="M28" s="2"/>
      <c r="N28" s="6">
        <f t="shared" si="7"/>
        <v>1.6614180482083944</v>
      </c>
      <c r="O28" s="11"/>
      <c r="P28" s="7">
        <v>4420.17</v>
      </c>
      <c r="Q28" s="2"/>
      <c r="R28" s="6">
        <f t="shared" si="8"/>
        <v>1.1268642257312864E-2</v>
      </c>
      <c r="S28" s="2"/>
      <c r="T28" s="7">
        <v>1795.2669230769229</v>
      </c>
      <c r="U28" s="2"/>
      <c r="V28" s="6">
        <f t="shared" si="9"/>
        <v>4.0469304777078236E-3</v>
      </c>
      <c r="W28" s="2"/>
      <c r="X28" s="7">
        <f t="shared" si="10"/>
        <v>2624.9030769230772</v>
      </c>
      <c r="Y28" s="2"/>
      <c r="Z28" s="6">
        <f t="shared" si="11"/>
        <v>1.4621241238178855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1.3242764846446587E-2</v>
      </c>
      <c r="G29" s="2"/>
      <c r="H29" s="7">
        <v>454.25058461538498</v>
      </c>
      <c r="I29" s="2"/>
      <c r="J29" s="6">
        <f t="shared" si="5"/>
        <v>1.3411194963697115E-2</v>
      </c>
      <c r="K29" s="2"/>
      <c r="L29" s="7">
        <f t="shared" si="6"/>
        <v>-154.99058461538499</v>
      </c>
      <c r="M29" s="2"/>
      <c r="N29" s="6">
        <f t="shared" si="7"/>
        <v>-0.34120062772536852</v>
      </c>
      <c r="O29" s="11"/>
      <c r="P29" s="7">
        <v>2543.7199999999998</v>
      </c>
      <c r="Q29" s="2"/>
      <c r="R29" s="6">
        <f t="shared" si="8"/>
        <v>6.4848796952994741E-3</v>
      </c>
      <c r="S29" s="2"/>
      <c r="T29" s="7">
        <v>3940.5265653846182</v>
      </c>
      <c r="U29" s="2"/>
      <c r="V29" s="6">
        <f t="shared" si="9"/>
        <v>8.8828222982800693E-3</v>
      </c>
      <c r="W29" s="2"/>
      <c r="X29" s="7">
        <f t="shared" si="10"/>
        <v>-1396.8065653846184</v>
      </c>
      <c r="Y29" s="2"/>
      <c r="Z29" s="6">
        <f t="shared" si="11"/>
        <v>-0.35447205905292051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1.0333323492072865E-2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>
        <v>688</v>
      </c>
      <c r="Q30" s="2"/>
      <c r="R30" s="6">
        <f t="shared" si="8"/>
        <v>1.7539655427350645E-3</v>
      </c>
      <c r="S30" s="2"/>
      <c r="T30" s="7">
        <v>2800</v>
      </c>
      <c r="U30" s="2"/>
      <c r="V30" s="6">
        <f t="shared" si="9"/>
        <v>6.311822042685951E-3</v>
      </c>
      <c r="W30" s="2"/>
      <c r="X30" s="7">
        <f t="shared" si="10"/>
        <v>-2112</v>
      </c>
      <c r="Y30" s="2"/>
      <c r="Z30" s="6">
        <f t="shared" si="11"/>
        <v>-0.75428571428571434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13003.130000000001</v>
      </c>
      <c r="E31" s="1"/>
      <c r="F31" s="5">
        <f t="shared" ref="F31:F41" si="12">IF(D$12=0,0,D31/D$12)</f>
        <v>0.57541065581024875</v>
      </c>
      <c r="G31" s="1"/>
      <c r="H31" s="1">
        <f>SUM(OSRRefH22_1x_0)</f>
        <v>16663.06656923077</v>
      </c>
      <c r="I31" s="1"/>
      <c r="J31" s="5">
        <f t="shared" ref="J31:J41" si="13">IF(H$12=0,0,H31/H$12)</f>
        <v>0.49195673494230374</v>
      </c>
      <c r="K31" s="1"/>
      <c r="L31" s="1">
        <f t="shared" ref="L31:L41" si="14">+D31-H31</f>
        <v>-3659.9365692307692</v>
      </c>
      <c r="M31" s="1"/>
      <c r="N31" s="5">
        <f t="shared" ref="N31:N41" si="15">IF(H31=0,0,L31/H31)</f>
        <v>-0.21964363846382484</v>
      </c>
      <c r="O31" s="14"/>
      <c r="P31" s="1">
        <f>SUM(OSRRefP22_1x_0)</f>
        <v>115180.55</v>
      </c>
      <c r="Q31" s="1"/>
      <c r="R31" s="5">
        <f t="shared" ref="R31:R41" si="16">IF(P$12=0,0,P31/P$12)</f>
        <v>0.29363766844952505</v>
      </c>
      <c r="S31" s="1"/>
      <c r="T31" s="1">
        <f>SUM(OSRRefT22_1x_0)</f>
        <v>145562.50228076923</v>
      </c>
      <c r="U31" s="1"/>
      <c r="V31" s="5">
        <f t="shared" ref="V31:V41" si="17">IF(T$12=0,0,T31/T$12)</f>
        <v>0.32813021803010117</v>
      </c>
      <c r="W31" s="1"/>
      <c r="X31" s="1">
        <f t="shared" ref="X31:X41" si="18">+P31-T31</f>
        <v>-30381.952280769226</v>
      </c>
      <c r="Y31" s="1"/>
      <c r="Z31" s="5">
        <f t="shared" ref="Z31:Z41" si="19">IF(T31=0,0,X31/T31)</f>
        <v>-0.2087210085339615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4205.72</v>
      </c>
      <c r="E32" s="2"/>
      <c r="F32" s="6">
        <f t="shared" si="12"/>
        <v>0.18611027524559698</v>
      </c>
      <c r="G32" s="2"/>
      <c r="H32" s="7">
        <v>4019.23076923077</v>
      </c>
      <c r="I32" s="2"/>
      <c r="J32" s="6">
        <f t="shared" si="13"/>
        <v>0.11866289065072687</v>
      </c>
      <c r="K32" s="2"/>
      <c r="L32" s="7">
        <f t="shared" si="14"/>
        <v>186.48923076923029</v>
      </c>
      <c r="M32" s="2"/>
      <c r="N32" s="6">
        <f t="shared" si="15"/>
        <v>4.6399234449760636E-2</v>
      </c>
      <c r="O32" s="11"/>
      <c r="P32" s="7">
        <v>35118.33</v>
      </c>
      <c r="Q32" s="2"/>
      <c r="R32" s="6">
        <f t="shared" si="16"/>
        <v>8.9529565026742877E-2</v>
      </c>
      <c r="S32" s="2"/>
      <c r="T32" s="7">
        <v>35168.269230769227</v>
      </c>
      <c r="U32" s="2"/>
      <c r="V32" s="6">
        <f t="shared" si="17"/>
        <v>7.9277091762101182E-2</v>
      </c>
      <c r="W32" s="2"/>
      <c r="X32" s="7">
        <f t="shared" si="18"/>
        <v>-49.939230769225105</v>
      </c>
      <c r="Y32" s="2"/>
      <c r="Z32" s="6">
        <f t="shared" si="19"/>
        <v>-1.4200082023238308E-3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2282.3000000000002</v>
      </c>
      <c r="E33" s="2"/>
      <c r="F33" s="6">
        <f t="shared" si="12"/>
        <v>0.10099566333303833</v>
      </c>
      <c r="G33" s="2"/>
      <c r="H33" s="7">
        <v>2168.1849999999999</v>
      </c>
      <c r="I33" s="2"/>
      <c r="J33" s="6">
        <f t="shared" si="13"/>
        <v>6.4013019987600006E-2</v>
      </c>
      <c r="K33" s="2"/>
      <c r="L33" s="7">
        <f t="shared" si="14"/>
        <v>114.11500000000024</v>
      </c>
      <c r="M33" s="2"/>
      <c r="N33" s="6">
        <f t="shared" si="15"/>
        <v>5.2631578947368529E-2</v>
      </c>
      <c r="O33" s="11"/>
      <c r="P33" s="7">
        <v>18829.390000000003</v>
      </c>
      <c r="Q33" s="2"/>
      <c r="R33" s="6">
        <f t="shared" si="16"/>
        <v>4.8003054143488669E-2</v>
      </c>
      <c r="S33" s="2"/>
      <c r="T33" s="7">
        <v>21681.85</v>
      </c>
      <c r="U33" s="2"/>
      <c r="V33" s="6">
        <f t="shared" si="17"/>
        <v>4.8875706698646562E-2</v>
      </c>
      <c r="W33" s="2"/>
      <c r="X33" s="7">
        <f t="shared" si="18"/>
        <v>-2852.4599999999955</v>
      </c>
      <c r="Y33" s="2"/>
      <c r="Z33" s="6">
        <f t="shared" si="19"/>
        <v>-0.13155980693529359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2885.7887999999998</v>
      </c>
      <c r="I35" s="2"/>
      <c r="J35" s="6">
        <f t="shared" si="13"/>
        <v>8.5199397714859307E-2</v>
      </c>
      <c r="K35" s="2"/>
      <c r="L35" s="7">
        <f t="shared" si="14"/>
        <v>-2885.7887999999998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23953.024799999999</v>
      </c>
      <c r="U35" s="2"/>
      <c r="V35" s="6">
        <f t="shared" si="17"/>
        <v>5.3995439257729726E-2</v>
      </c>
      <c r="W35" s="2"/>
      <c r="X35" s="7">
        <f t="shared" si="18"/>
        <v>-23953.024799999999</v>
      </c>
      <c r="Y35" s="2"/>
      <c r="Z35" s="6">
        <f t="shared" si="19"/>
        <v>-1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6611.59</v>
      </c>
      <c r="E36" s="2"/>
      <c r="F36" s="6">
        <f t="shared" si="12"/>
        <v>0.29257412160368174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6611.59</v>
      </c>
      <c r="M36" s="2"/>
      <c r="N36" s="6">
        <f t="shared" si="15"/>
        <v>0</v>
      </c>
      <c r="O36" s="11"/>
      <c r="P36" s="7">
        <v>51774.17</v>
      </c>
      <c r="Q36" s="2"/>
      <c r="R36" s="6">
        <f t="shared" si="16"/>
        <v>0.13199143922050507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51774.17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-645</v>
      </c>
      <c r="E38" s="2"/>
      <c r="F38" s="6">
        <f t="shared" si="12"/>
        <v>-2.8542348880431896E-2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-645</v>
      </c>
      <c r="M38" s="2"/>
      <c r="N38" s="6">
        <f t="shared" si="15"/>
        <v>0</v>
      </c>
      <c r="O38" s="11"/>
      <c r="P38" s="7">
        <v>5546.78</v>
      </c>
      <c r="Q38" s="2"/>
      <c r="R38" s="6">
        <f t="shared" si="16"/>
        <v>1.4140786327226745E-2</v>
      </c>
      <c r="S38" s="2"/>
      <c r="T38" s="7">
        <v>20952</v>
      </c>
      <c r="U38" s="2"/>
      <c r="V38" s="6">
        <f t="shared" si="17"/>
        <v>4.7230462656555727E-2</v>
      </c>
      <c r="W38" s="2"/>
      <c r="X38" s="7">
        <f t="shared" si="18"/>
        <v>-15405.220000000001</v>
      </c>
      <c r="Y38" s="2"/>
      <c r="Z38" s="6">
        <f t="shared" si="19"/>
        <v>-0.73526250477281407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548.52</v>
      </c>
      <c r="E39" s="2"/>
      <c r="F39" s="6">
        <f t="shared" si="12"/>
        <v>2.4272944508363571E-2</v>
      </c>
      <c r="G39" s="2"/>
      <c r="H39" s="7">
        <v>7589.8620000000001</v>
      </c>
      <c r="I39" s="2"/>
      <c r="J39" s="6">
        <f t="shared" si="13"/>
        <v>0.22408142658911753</v>
      </c>
      <c r="K39" s="2"/>
      <c r="L39" s="7">
        <f t="shared" si="14"/>
        <v>-7041.3420000000006</v>
      </c>
      <c r="M39" s="2"/>
      <c r="N39" s="6">
        <f t="shared" si="15"/>
        <v>-0.92772991129482996</v>
      </c>
      <c r="O39" s="11"/>
      <c r="P39" s="7">
        <v>3911.88</v>
      </c>
      <c r="Q39" s="2"/>
      <c r="R39" s="6">
        <f t="shared" si="16"/>
        <v>9.9728237315616919E-3</v>
      </c>
      <c r="S39" s="2"/>
      <c r="T39" s="7">
        <v>43807.358249999997</v>
      </c>
      <c r="U39" s="2"/>
      <c r="V39" s="6">
        <f t="shared" si="17"/>
        <v>9.8751517655067941E-2</v>
      </c>
      <c r="W39" s="2"/>
      <c r="X39" s="7">
        <f t="shared" si="18"/>
        <v>-39895.47825</v>
      </c>
      <c r="Y39" s="2"/>
      <c r="Z39" s="6">
        <f t="shared" si="19"/>
        <v>-0.91070267287802054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2.9523781405922469E-3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800</v>
      </c>
      <c r="U42" s="1"/>
      <c r="V42" s="5">
        <f t="shared" ref="V42:V50" si="25">IF(T$12=0,0,T42/T$12)</f>
        <v>1.8033777264817002E-3</v>
      </c>
      <c r="W42" s="1"/>
      <c r="X42" s="1">
        <f t="shared" ref="X42:X50" si="26">+P42-T42</f>
        <v>-800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2.9523781405922469E-3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800</v>
      </c>
      <c r="U43" s="2"/>
      <c r="V43" s="6">
        <f t="shared" si="25"/>
        <v>1.8033777264817002E-3</v>
      </c>
      <c r="W43" s="2"/>
      <c r="X43" s="7">
        <f t="shared" si="26"/>
        <v>-800</v>
      </c>
      <c r="Y43" s="2"/>
      <c r="Z43" s="6">
        <f t="shared" si="27"/>
        <v>-1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37</v>
      </c>
      <c r="E44" s="1"/>
      <c r="F44" s="5">
        <f t="shared" si="20"/>
        <v>1.6373130365519072E-3</v>
      </c>
      <c r="G44" s="1"/>
      <c r="H44" s="1">
        <f>SUM(OSRRefH22_3x_0)</f>
        <v>2000</v>
      </c>
      <c r="I44" s="1"/>
      <c r="J44" s="5">
        <f t="shared" si="21"/>
        <v>5.9047562811844943E-2</v>
      </c>
      <c r="K44" s="1"/>
      <c r="L44" s="1">
        <f t="shared" si="22"/>
        <v>-1963</v>
      </c>
      <c r="M44" s="1"/>
      <c r="N44" s="5">
        <f t="shared" si="23"/>
        <v>-0.98150000000000004</v>
      </c>
      <c r="O44" s="14"/>
      <c r="P44" s="1">
        <f>SUM(OSRRefP22_3x_0)</f>
        <v>707.89</v>
      </c>
      <c r="Q44" s="1"/>
      <c r="R44" s="5">
        <f t="shared" si="24"/>
        <v>1.8046724826260535E-3</v>
      </c>
      <c r="S44" s="1"/>
      <c r="T44" s="1">
        <f>SUM(OSRRefT22_3x_0)</f>
        <v>13700</v>
      </c>
      <c r="U44" s="1"/>
      <c r="V44" s="5">
        <f t="shared" si="25"/>
        <v>3.0882843565999116E-2</v>
      </c>
      <c r="W44" s="1"/>
      <c r="X44" s="1">
        <f t="shared" si="26"/>
        <v>-12992.11</v>
      </c>
      <c r="Y44" s="1"/>
      <c r="Z44" s="5">
        <f t="shared" si="27"/>
        <v>-0.94832919708029206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37</v>
      </c>
      <c r="E45" s="2"/>
      <c r="F45" s="6">
        <f t="shared" si="20"/>
        <v>1.6373130365519072E-3</v>
      </c>
      <c r="G45" s="2"/>
      <c r="H45" s="7">
        <v>2000</v>
      </c>
      <c r="I45" s="2"/>
      <c r="J45" s="6">
        <f t="shared" si="21"/>
        <v>5.9047562811844943E-2</v>
      </c>
      <c r="K45" s="2"/>
      <c r="L45" s="7">
        <f t="shared" si="22"/>
        <v>-1963</v>
      </c>
      <c r="M45" s="2"/>
      <c r="N45" s="6">
        <f t="shared" si="23"/>
        <v>-0.98150000000000004</v>
      </c>
      <c r="O45" s="11"/>
      <c r="P45" s="7">
        <v>707.89</v>
      </c>
      <c r="Q45" s="2"/>
      <c r="R45" s="6">
        <f t="shared" si="24"/>
        <v>1.8046724826260535E-3</v>
      </c>
      <c r="S45" s="2"/>
      <c r="T45" s="7">
        <v>13700</v>
      </c>
      <c r="U45" s="2"/>
      <c r="V45" s="6">
        <f t="shared" si="25"/>
        <v>3.0882843565999116E-2</v>
      </c>
      <c r="W45" s="2"/>
      <c r="X45" s="7">
        <f t="shared" si="26"/>
        <v>-12992.11</v>
      </c>
      <c r="Y45" s="2"/>
      <c r="Z45" s="6">
        <f t="shared" si="27"/>
        <v>-0.94832919708029206</v>
      </c>
    </row>
    <row r="46" spans="1:26" s="28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5.9047562811844942E-4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160</v>
      </c>
      <c r="U46" s="1"/>
      <c r="V46" s="5">
        <f t="shared" si="25"/>
        <v>3.6067554529634006E-4</v>
      </c>
      <c r="W46" s="1"/>
      <c r="X46" s="1">
        <f t="shared" si="26"/>
        <v>-160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5.9047562811844942E-4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160</v>
      </c>
      <c r="U47" s="2"/>
      <c r="V47" s="6">
        <f t="shared" si="25"/>
        <v>3.6067554529634006E-4</v>
      </c>
      <c r="W47" s="2"/>
      <c r="X47" s="7">
        <f t="shared" si="26"/>
        <v>-160</v>
      </c>
      <c r="Y47" s="2"/>
      <c r="Z47" s="6">
        <f t="shared" si="27"/>
        <v>-1</v>
      </c>
    </row>
    <row r="48" spans="1:26" s="28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2.9523781405922471E-4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5.4046612654045596E-6</v>
      </c>
      <c r="S48" s="1"/>
      <c r="T48" s="1">
        <f>SUM(OSRRefT22_5x_0)</f>
        <v>80</v>
      </c>
      <c r="U48" s="1"/>
      <c r="V48" s="5">
        <f t="shared" si="25"/>
        <v>1.8033777264817003E-4</v>
      </c>
      <c r="W48" s="1"/>
      <c r="X48" s="1">
        <f t="shared" si="26"/>
        <v>-77.88</v>
      </c>
      <c r="Y48" s="1"/>
      <c r="Z48" s="5">
        <f t="shared" si="27"/>
        <v>-0.97349999999999992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4.129977004695937E-6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2.9523781405922471E-4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1.2746842607086224E-6</v>
      </c>
      <c r="S50" s="2"/>
      <c r="T50" s="7">
        <v>80</v>
      </c>
      <c r="U50" s="2"/>
      <c r="V50" s="6">
        <f t="shared" si="25"/>
        <v>1.8033777264817003E-4</v>
      </c>
      <c r="W50" s="2"/>
      <c r="X50" s="7">
        <f t="shared" si="26"/>
        <v>-79.5</v>
      </c>
      <c r="Y50" s="2"/>
      <c r="Z50" s="6">
        <f t="shared" si="27"/>
        <v>-0.99375000000000002</v>
      </c>
    </row>
    <row r="51" spans="1:26" s="28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1.4761890702961235E-3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400</v>
      </c>
      <c r="U51" s="1"/>
      <c r="V51" s="5">
        <f t="shared" ref="V51:V61" si="33">IF(T$12=0,0,T51/T$12)</f>
        <v>9.016888632408501E-4</v>
      </c>
      <c r="W51" s="1"/>
      <c r="X51" s="1">
        <f t="shared" ref="X51:X61" si="34">+P51-T51</f>
        <v>-400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1.4761890702961235E-3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400</v>
      </c>
      <c r="U52" s="2"/>
      <c r="V52" s="6">
        <f t="shared" si="33"/>
        <v>9.016888632408501E-4</v>
      </c>
      <c r="W52" s="2"/>
      <c r="X52" s="7">
        <f t="shared" si="34"/>
        <v>-400</v>
      </c>
      <c r="Y52" s="2"/>
      <c r="Z52" s="6">
        <f t="shared" si="35"/>
        <v>-1</v>
      </c>
    </row>
    <row r="53" spans="1:26" s="28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1.2837419240640765E-3</v>
      </c>
      <c r="G53" s="1"/>
      <c r="H53" s="1">
        <f>SUM(OSRRefH22_7x_0)</f>
        <v>33</v>
      </c>
      <c r="I53" s="1"/>
      <c r="J53" s="5">
        <f t="shared" si="29"/>
        <v>9.7428478639544156E-4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232.08</v>
      </c>
      <c r="Q53" s="1"/>
      <c r="R53" s="5">
        <f t="shared" si="32"/>
        <v>5.9165744645051424E-4</v>
      </c>
      <c r="S53" s="1"/>
      <c r="T53" s="1">
        <f>SUM(OSRRefT22_7x_0)</f>
        <v>264</v>
      </c>
      <c r="U53" s="1"/>
      <c r="V53" s="5">
        <f t="shared" si="33"/>
        <v>5.9511464973896109E-4</v>
      </c>
      <c r="W53" s="1"/>
      <c r="X53" s="1">
        <f t="shared" si="34"/>
        <v>-31.919999999999987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1.2837419240640765E-3</v>
      </c>
      <c r="G54" s="2"/>
      <c r="H54" s="7">
        <v>33</v>
      </c>
      <c r="I54" s="2"/>
      <c r="J54" s="6">
        <f t="shared" si="29"/>
        <v>9.7428478639544156E-4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232.08</v>
      </c>
      <c r="Q54" s="2"/>
      <c r="R54" s="6">
        <f t="shared" si="32"/>
        <v>5.9165744645051424E-4</v>
      </c>
      <c r="S54" s="2"/>
      <c r="T54" s="7">
        <v>264</v>
      </c>
      <c r="U54" s="2"/>
      <c r="V54" s="6">
        <f t="shared" si="33"/>
        <v>5.9511464973896109E-4</v>
      </c>
      <c r="W54" s="2"/>
      <c r="X54" s="7">
        <f t="shared" si="34"/>
        <v>-31.919999999999987</v>
      </c>
      <c r="Y54" s="2"/>
      <c r="Z54" s="6">
        <f t="shared" si="35"/>
        <v>-0.12090909090909085</v>
      </c>
    </row>
    <row r="55" spans="1:26" s="28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3.5401362952473668E-2</v>
      </c>
      <c r="G55" s="1"/>
      <c r="H55" s="1">
        <f>SUM(OSRRefH22_8x_0)</f>
        <v>800</v>
      </c>
      <c r="I55" s="1"/>
      <c r="J55" s="5">
        <f t="shared" si="29"/>
        <v>2.3619025124737975E-2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6400</v>
      </c>
      <c r="Q55" s="1"/>
      <c r="R55" s="5">
        <f t="shared" si="32"/>
        <v>1.6315958537070369E-2</v>
      </c>
      <c r="S55" s="1"/>
      <c r="T55" s="1">
        <f>SUM(OSRRefT22_8x_0)</f>
        <v>6400</v>
      </c>
      <c r="U55" s="1"/>
      <c r="V55" s="5">
        <f t="shared" si="33"/>
        <v>1.4427021811853602E-2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3.5401362952473668E-2</v>
      </c>
      <c r="G56" s="2"/>
      <c r="H56" s="7">
        <v>800</v>
      </c>
      <c r="I56" s="2"/>
      <c r="J56" s="6">
        <f t="shared" si="29"/>
        <v>2.3619025124737975E-2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6400</v>
      </c>
      <c r="Q56" s="2"/>
      <c r="R56" s="6">
        <f t="shared" si="32"/>
        <v>1.6315958537070369E-2</v>
      </c>
      <c r="S56" s="2"/>
      <c r="T56" s="7">
        <v>6400</v>
      </c>
      <c r="U56" s="2"/>
      <c r="V56" s="6">
        <f t="shared" si="33"/>
        <v>1.4427021811853602E-2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1500</v>
      </c>
      <c r="I57" s="1"/>
      <c r="J57" s="5">
        <f t="shared" si="29"/>
        <v>4.4285672108883706E-2</v>
      </c>
      <c r="K57" s="1"/>
      <c r="L57" s="1">
        <f t="shared" si="30"/>
        <v>-1500</v>
      </c>
      <c r="M57" s="1"/>
      <c r="N57" s="5">
        <f t="shared" si="31"/>
        <v>-1</v>
      </c>
      <c r="O57" s="14"/>
      <c r="P57" s="1">
        <f>SUM(OSRRefP22_9x_0)</f>
        <v>126914.90000000001</v>
      </c>
      <c r="Q57" s="1"/>
      <c r="R57" s="5">
        <f t="shared" si="32"/>
        <v>0.32355285095881753</v>
      </c>
      <c r="S57" s="1"/>
      <c r="T57" s="1">
        <f>SUM(OSRRefT22_9x_0)</f>
        <v>137000</v>
      </c>
      <c r="U57" s="1"/>
      <c r="V57" s="5">
        <f t="shared" si="33"/>
        <v>0.30882843565999119</v>
      </c>
      <c r="W57" s="1"/>
      <c r="X57" s="1">
        <f t="shared" si="34"/>
        <v>-10085.099999999991</v>
      </c>
      <c r="Y57" s="1"/>
      <c r="Z57" s="5">
        <f t="shared" si="35"/>
        <v>-7.3613868613138622E-2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0.28177776976276564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4.4285672108883706E-2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12000</v>
      </c>
      <c r="U59" s="2"/>
      <c r="V59" s="6">
        <f t="shared" si="33"/>
        <v>2.7050665897225504E-2</v>
      </c>
      <c r="W59" s="2"/>
      <c r="X59" s="7">
        <f t="shared" si="34"/>
        <v>-12000</v>
      </c>
      <c r="Y59" s="2"/>
      <c r="Z59" s="6">
        <f t="shared" si="35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0.30682389472127758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1.6728956237539963E-2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11.55</v>
      </c>
      <c r="E62" s="1"/>
      <c r="F62" s="5">
        <f t="shared" ref="F62:F64" si="36">IF(D$12=0,0,D62/D$12)</f>
        <v>5.1110717762633867E-4</v>
      </c>
      <c r="G62" s="1"/>
      <c r="H62" s="1">
        <f>SUM(OSRRefH22_10x_0)</f>
        <v>7000</v>
      </c>
      <c r="I62" s="1"/>
      <c r="J62" s="5">
        <f t="shared" ref="J62:J64" si="37">IF(H$12=0,0,H62/H$12)</f>
        <v>0.20666646984145728</v>
      </c>
      <c r="K62" s="1"/>
      <c r="L62" s="1">
        <f t="shared" ref="L62:L64" si="38">+D62-H62</f>
        <v>-6988.45</v>
      </c>
      <c r="M62" s="1"/>
      <c r="N62" s="5">
        <f t="shared" ref="N62:N64" si="39">IF(H62=0,0,L62/H62)</f>
        <v>-0.99834999999999996</v>
      </c>
      <c r="O62" s="14"/>
      <c r="P62" s="1">
        <f>SUM(OSRRefP22_10x_0)</f>
        <v>42058.17</v>
      </c>
      <c r="Q62" s="1"/>
      <c r="R62" s="5">
        <f t="shared" ref="R62:R64" si="40">IF(P$12=0,0,P62/P$12)</f>
        <v>0.10722177466641512</v>
      </c>
      <c r="S62" s="1"/>
      <c r="T62" s="1">
        <f>SUM(OSRRefT22_10x_0)</f>
        <v>56000</v>
      </c>
      <c r="U62" s="1"/>
      <c r="V62" s="5">
        <f t="shared" ref="V62:V64" si="41">IF(T$12=0,0,T62/T$12)</f>
        <v>0.12623644085371902</v>
      </c>
      <c r="W62" s="1"/>
      <c r="X62" s="1">
        <f t="shared" ref="X62:X64" si="42">+P62-T62</f>
        <v>-13941.830000000002</v>
      </c>
      <c r="Y62" s="1"/>
      <c r="Z62" s="5">
        <f t="shared" ref="Z62:Z64" si="43">IF(T62=0,0,X62/T62)</f>
        <v>-0.24896125000000002</v>
      </c>
    </row>
    <row r="63" spans="1:26" s="24" customFormat="1" hidden="1" outlineLevel="2" x14ac:dyDescent="0.25">
      <c r="A63" s="27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0.20666646984145728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56000</v>
      </c>
      <c r="U63" s="2"/>
      <c r="V63" s="6">
        <f t="shared" si="41"/>
        <v>0.12623644085371902</v>
      </c>
      <c r="W63" s="2"/>
      <c r="X63" s="7">
        <f t="shared" si="42"/>
        <v>-56000</v>
      </c>
      <c r="Y63" s="2"/>
      <c r="Z63" s="6">
        <f t="shared" si="43"/>
        <v>-1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7">
        <v>11.55</v>
      </c>
      <c r="E64" s="2"/>
      <c r="F64" s="6">
        <f t="shared" si="36"/>
        <v>5.1110717762633867E-4</v>
      </c>
      <c r="G64" s="2"/>
      <c r="H64" s="7"/>
      <c r="I64" s="2"/>
      <c r="J64" s="6">
        <f t="shared" si="37"/>
        <v>0</v>
      </c>
      <c r="K64" s="2"/>
      <c r="L64" s="7">
        <f t="shared" si="38"/>
        <v>11.55</v>
      </c>
      <c r="M64" s="2"/>
      <c r="N64" s="6">
        <f t="shared" si="39"/>
        <v>0</v>
      </c>
      <c r="O64" s="11"/>
      <c r="P64" s="7">
        <v>42058.17</v>
      </c>
      <c r="Q64" s="2"/>
      <c r="R64" s="6">
        <f t="shared" si="40"/>
        <v>0.10722177466641512</v>
      </c>
      <c r="S64" s="2"/>
      <c r="T64" s="7"/>
      <c r="U64" s="2"/>
      <c r="V64" s="6">
        <f t="shared" si="41"/>
        <v>0</v>
      </c>
      <c r="W64" s="2"/>
      <c r="X64" s="7">
        <f t="shared" si="42"/>
        <v>42058.17</v>
      </c>
      <c r="Y64" s="2"/>
      <c r="Z64" s="6">
        <f t="shared" si="43"/>
        <v>0</v>
      </c>
    </row>
    <row r="65" spans="1:26" s="28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86.45</v>
      </c>
      <c r="E65" s="1"/>
      <c r="F65" s="5">
        <f t="shared" ref="F65:F66" si="44">IF(D$12=0,0,D65/D$12)</f>
        <v>3.8255597840516861E-3</v>
      </c>
      <c r="G65" s="1"/>
      <c r="H65" s="1">
        <f>SUM(OSRRefH22_11x_0)</f>
        <v>700</v>
      </c>
      <c r="I65" s="1"/>
      <c r="J65" s="5">
        <f t="shared" ref="J65:J66" si="45">IF(H$12=0,0,H65/H$12)</f>
        <v>2.0666646984145731E-2</v>
      </c>
      <c r="K65" s="1"/>
      <c r="L65" s="1">
        <f t="shared" ref="L65:L66" si="46">+D65-H65</f>
        <v>-613.54999999999995</v>
      </c>
      <c r="M65" s="1"/>
      <c r="N65" s="5">
        <f t="shared" ref="N65:N66" si="47">IF(H65=0,0,L65/H65)</f>
        <v>-0.87649999999999995</v>
      </c>
      <c r="O65" s="14"/>
      <c r="P65" s="1">
        <f>SUM(OSRRefP22_11x_0)</f>
        <v>1624.83</v>
      </c>
      <c r="Q65" s="1"/>
      <c r="R65" s="5">
        <f t="shared" ref="R65:R66" si="48">IF(P$12=0,0,P65/P$12)</f>
        <v>4.1422904546543817E-3</v>
      </c>
      <c r="S65" s="1"/>
      <c r="T65" s="1">
        <f>SUM(OSRRefT22_11x_0)</f>
        <v>5600</v>
      </c>
      <c r="U65" s="1"/>
      <c r="V65" s="5">
        <f t="shared" ref="V65:V66" si="49">IF(T$12=0,0,T65/T$12)</f>
        <v>1.2623644085371902E-2</v>
      </c>
      <c r="W65" s="1"/>
      <c r="X65" s="1">
        <f t="shared" ref="X65:X66" si="50">+P65-T65</f>
        <v>-3975.17</v>
      </c>
      <c r="Y65" s="1"/>
      <c r="Z65" s="5">
        <f t="shared" ref="Z65:Z66" si="51">IF(T65=0,0,X65/T65)</f>
        <v>-0.70985178571428575</v>
      </c>
    </row>
    <row r="66" spans="1:26" s="24" customFormat="1" hidden="1" outlineLevel="2" x14ac:dyDescent="0.25">
      <c r="A66" s="27"/>
      <c r="B66" s="11" t="str">
        <f>CONCATENATE("          ", "6309", " - ", "TELEPHONE")</f>
        <v xml:space="preserve">          6309 - TELEPHONE</v>
      </c>
      <c r="C66" s="11"/>
      <c r="D66" s="7">
        <v>86.45</v>
      </c>
      <c r="E66" s="2"/>
      <c r="F66" s="6">
        <f t="shared" si="44"/>
        <v>3.8255597840516861E-3</v>
      </c>
      <c r="G66" s="2"/>
      <c r="H66" s="7">
        <v>700</v>
      </c>
      <c r="I66" s="2"/>
      <c r="J66" s="6">
        <f t="shared" si="45"/>
        <v>2.0666646984145731E-2</v>
      </c>
      <c r="K66" s="2"/>
      <c r="L66" s="7">
        <f t="shared" si="46"/>
        <v>-613.54999999999995</v>
      </c>
      <c r="M66" s="2"/>
      <c r="N66" s="6">
        <f t="shared" si="47"/>
        <v>-0.87649999999999995</v>
      </c>
      <c r="O66" s="11"/>
      <c r="P66" s="7">
        <v>1624.83</v>
      </c>
      <c r="Q66" s="2"/>
      <c r="R66" s="6">
        <f t="shared" si="48"/>
        <v>4.1422904546543817E-3</v>
      </c>
      <c r="S66" s="2"/>
      <c r="T66" s="7">
        <v>5600</v>
      </c>
      <c r="U66" s="2"/>
      <c r="V66" s="6">
        <f t="shared" si="49"/>
        <v>1.2623644085371902E-2</v>
      </c>
      <c r="W66" s="2"/>
      <c r="X66" s="7">
        <f t="shared" si="50"/>
        <v>-3975.17</v>
      </c>
      <c r="Y66" s="2"/>
      <c r="Z66" s="6">
        <f t="shared" si="51"/>
        <v>-0.70985178571428575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231.48</v>
      </c>
      <c r="E68" s="4"/>
      <c r="F68" s="12">
        <f t="shared" ref="F68:F69" si="52">IF(D$12=0,0,D68/D$12)</f>
        <v>1.0243384370298257E-2</v>
      </c>
      <c r="G68" s="4"/>
      <c r="H68" s="4">
        <f>SUM(OSRRefH25x_0)</f>
        <v>3700</v>
      </c>
      <c r="I68" s="4"/>
      <c r="J68" s="12">
        <f t="shared" ref="J68:J69" si="53">IF(H$12=0,0,H68/H$12)</f>
        <v>0.10923799120191315</v>
      </c>
      <c r="K68" s="4"/>
      <c r="L68" s="4">
        <f t="shared" ref="L68:L69" si="54">+D68-H68</f>
        <v>-3468.52</v>
      </c>
      <c r="M68" s="4"/>
      <c r="N68" s="12">
        <f t="shared" ref="N68:N69" si="55">IF(H68=0,0,L68/H68)</f>
        <v>-0.93743783783783785</v>
      </c>
      <c r="O68" s="10"/>
      <c r="P68" s="4">
        <f>SUM(OSRRefP25x_0)</f>
        <v>1728.68</v>
      </c>
      <c r="Q68" s="4"/>
      <c r="R68" s="12">
        <f t="shared" ref="R68:R69" si="56">IF(P$12=0,0,P68/P$12)</f>
        <v>4.4070423756035629E-3</v>
      </c>
      <c r="S68" s="4"/>
      <c r="T68" s="4">
        <f>SUM(OSRRefT25x_0)</f>
        <v>23150</v>
      </c>
      <c r="U68" s="4"/>
      <c r="V68" s="12">
        <f t="shared" ref="V68:V69" si="57">IF(T$12=0,0,T68/T$12)</f>
        <v>5.2185242960064201E-2</v>
      </c>
      <c r="W68" s="4"/>
      <c r="X68" s="4">
        <f t="shared" ref="X68:X69" si="58">+P68-T68</f>
        <v>-21421.32</v>
      </c>
      <c r="Y68" s="4"/>
      <c r="Z68" s="12">
        <f t="shared" ref="Z68:Z69" si="59">IF(T68=0,0,X68/T68)</f>
        <v>-0.9253269978401728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--231.48</f>
        <v>231.48</v>
      </c>
      <c r="E69" s="2"/>
      <c r="F69" s="22">
        <f t="shared" si="52"/>
        <v>1.0243384370298257E-2</v>
      </c>
      <c r="G69" s="2"/>
      <c r="H69" s="2">
        <v>3700</v>
      </c>
      <c r="I69" s="2"/>
      <c r="J69" s="22">
        <f t="shared" si="53"/>
        <v>0.10923799120191315</v>
      </c>
      <c r="K69" s="2"/>
      <c r="L69" s="2">
        <f t="shared" si="54"/>
        <v>-3468.52</v>
      </c>
      <c r="M69" s="2"/>
      <c r="N69" s="22">
        <f t="shared" si="55"/>
        <v>-0.93743783783783785</v>
      </c>
      <c r="O69" s="11"/>
      <c r="P69" s="2">
        <f>--1728.68</f>
        <v>1728.68</v>
      </c>
      <c r="Q69" s="2"/>
      <c r="R69" s="22">
        <f t="shared" si="56"/>
        <v>4.4070423756035629E-3</v>
      </c>
      <c r="S69" s="2"/>
      <c r="T69" s="2">
        <v>23150</v>
      </c>
      <c r="U69" s="2"/>
      <c r="V69" s="22">
        <f t="shared" si="57"/>
        <v>5.2185242960064201E-2</v>
      </c>
      <c r="W69" s="2"/>
      <c r="X69" s="2">
        <f t="shared" si="58"/>
        <v>-21421.32</v>
      </c>
      <c r="Y69" s="2"/>
      <c r="Z69" s="22">
        <f t="shared" si="59"/>
        <v>-0.9253269978401728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19">
        <f>+D17-D19+D68</f>
        <v>4995.0099999999984</v>
      </c>
      <c r="E71" s="13"/>
      <c r="F71" s="21">
        <f>IF(D$12=0,0,D71/D$12)</f>
        <v>0.2210377024515443</v>
      </c>
      <c r="G71" s="13"/>
      <c r="H71" s="19">
        <f>+H17-H19+H68</f>
        <v>5018.7436511846136</v>
      </c>
      <c r="I71" s="13"/>
      <c r="J71" s="21">
        <f>IF(H$12=0,0,H71/H$12)</f>
        <v>0.14817229048993574</v>
      </c>
      <c r="K71" s="15"/>
      <c r="L71" s="19">
        <f>+D71-H71</f>
        <v>-23.733651184615155</v>
      </c>
      <c r="M71" s="15"/>
      <c r="N71" s="21">
        <f>IF(H71=0,0,L71/H71)</f>
        <v>-4.7290024823270493E-3</v>
      </c>
      <c r="O71" s="26"/>
      <c r="P71" s="19">
        <f>+P17-P19+P68</f>
        <v>67101.919999999984</v>
      </c>
      <c r="Q71" s="13"/>
      <c r="R71" s="21">
        <f>IF(P$12=0,0,P71/P$12)</f>
        <v>0.17106752257465821</v>
      </c>
      <c r="S71" s="13"/>
      <c r="T71" s="19">
        <f>+T17-T19+T68</f>
        <v>67265.784847915405</v>
      </c>
      <c r="U71" s="13"/>
      <c r="V71" s="21">
        <f>IF(T$12=0,0,T71/T$12)</f>
        <v>0.1516320226863011</v>
      </c>
      <c r="W71" s="15"/>
      <c r="X71" s="19">
        <f>+P71-T71</f>
        <v>-163.86484791542171</v>
      </c>
      <c r="Y71" s="15"/>
      <c r="Z71" s="21">
        <f>IF(T71=0,0,X71/T71)</f>
        <v>-2.4360802194743135E-3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10577.98</v>
      </c>
      <c r="E73" s="4"/>
      <c r="F73" s="12">
        <f>IF(D$12=0,0,D73/D$12)</f>
        <v>0.4680936366050093</v>
      </c>
      <c r="G73" s="4"/>
      <c r="H73" s="4">
        <v>5185</v>
      </c>
      <c r="I73" s="4"/>
      <c r="J73" s="12">
        <f>IF(H$12=0,0,H73/H$12)</f>
        <v>0.15308080658970802</v>
      </c>
      <c r="K73" s="4"/>
      <c r="L73" s="4">
        <f>+D73-H73</f>
        <v>5392.98</v>
      </c>
      <c r="M73" s="4"/>
      <c r="N73" s="12">
        <f>IF(H73=0,0,L73/H73)</f>
        <v>1.0401118611378977</v>
      </c>
      <c r="O73" s="10"/>
      <c r="P73" s="4">
        <v>77680.320000000007</v>
      </c>
      <c r="Q73" s="4"/>
      <c r="R73" s="12">
        <f>IF(P$12=0,0,P73/P$12)</f>
        <v>0.19803576254161845</v>
      </c>
      <c r="S73" s="4"/>
      <c r="T73" s="4">
        <v>76293</v>
      </c>
      <c r="U73" s="4"/>
      <c r="V73" s="12">
        <f>IF(T$12=0,0,T73/T$12)</f>
        <v>0.17198137110808545</v>
      </c>
      <c r="W73" s="4"/>
      <c r="X73" s="4">
        <f>+P73-T73</f>
        <v>1387.320000000007</v>
      </c>
      <c r="Y73" s="4"/>
      <c r="Z73" s="12">
        <f>IF(T73=0,0,X73/T73)</f>
        <v>1.8184106012347226E-2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-5582.9700000000012</v>
      </c>
      <c r="E75" s="13"/>
      <c r="F75" s="30">
        <f>IF(D$12=0,0,D75/D$12)</f>
        <v>-0.24705593415346497</v>
      </c>
      <c r="G75" s="13"/>
      <c r="H75" s="34">
        <f>+H71-H73</f>
        <v>-166.25634881538645</v>
      </c>
      <c r="I75" s="13"/>
      <c r="J75" s="30">
        <f>IF(H$12=0,0,H75/H$12)</f>
        <v>-4.9085160997722668E-3</v>
      </c>
      <c r="K75" s="15"/>
      <c r="L75" s="34">
        <f>D75-H75</f>
        <v>-5416.7136511846147</v>
      </c>
      <c r="M75" s="15"/>
      <c r="N75" s="30">
        <f>IF(H75=0,0,L75/H75)</f>
        <v>32.580492052062418</v>
      </c>
      <c r="O75" s="26"/>
      <c r="P75" s="34">
        <f>+P71-P73</f>
        <v>-10578.400000000023</v>
      </c>
      <c r="Q75" s="13"/>
      <c r="R75" s="30">
        <f>IF(P$12=0,0,P75/P$12)</f>
        <v>-2.6968239966960243E-2</v>
      </c>
      <c r="S75" s="13"/>
      <c r="T75" s="34">
        <f>+T71-T73</f>
        <v>-9027.2151520845946</v>
      </c>
      <c r="U75" s="13"/>
      <c r="V75" s="30">
        <f>IF(T$12=0,0,T75/T$12)</f>
        <v>-2.034934842178434E-2</v>
      </c>
      <c r="W75" s="15"/>
      <c r="X75" s="34">
        <f>P75-T75</f>
        <v>-1551.1848479154287</v>
      </c>
      <c r="Y75" s="15"/>
      <c r="Z75" s="30">
        <f>IF(T75=0,0,X75/T75)</f>
        <v>0.17183426137320146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5">
        <f>SUM(D75:D77)</f>
        <v>-5582.9700000000012</v>
      </c>
      <c r="E78" s="13"/>
      <c r="F78" s="31">
        <f>IF(D$12=0,0,D78/D$12)</f>
        <v>-0.24705593415346497</v>
      </c>
      <c r="G78" s="13"/>
      <c r="H78" s="35">
        <f>SUM(H75:H77)</f>
        <v>-166.25634881538645</v>
      </c>
      <c r="I78" s="13"/>
      <c r="J78" s="31">
        <f>IF(H$12=0,0,H78/H$12)</f>
        <v>-4.9085160997722668E-3</v>
      </c>
      <c r="K78" s="15"/>
      <c r="L78" s="35">
        <f>+D78-H78</f>
        <v>-5416.7136511846147</v>
      </c>
      <c r="M78" s="15"/>
      <c r="N78" s="31">
        <f>IF(H78=0,0,L78/H78)</f>
        <v>32.580492052062418</v>
      </c>
      <c r="O78" s="26"/>
      <c r="P78" s="35">
        <f>SUM(P75:P77)</f>
        <v>-10578.400000000023</v>
      </c>
      <c r="Q78" s="13"/>
      <c r="R78" s="31">
        <f>IF(P$12=0,0,P78/P$12)</f>
        <v>-2.6968239966960243E-2</v>
      </c>
      <c r="S78" s="13"/>
      <c r="T78" s="35">
        <f>SUM(T75:T77)</f>
        <v>-9027.2151520845946</v>
      </c>
      <c r="U78" s="13"/>
      <c r="V78" s="31">
        <f>IF(T$12=0,0,T78/T$12)</f>
        <v>-2.034934842178434E-2</v>
      </c>
      <c r="W78" s="15"/>
      <c r="X78" s="35">
        <f>+P78-T78</f>
        <v>-1551.1848479154287</v>
      </c>
      <c r="Y78" s="15"/>
      <c r="Z78" s="31">
        <f>IF(T78=0,0,X78/T78)</f>
        <v>0.17183426137320146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3">
        <v>44267.672338692129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 t="s">
        <v>314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60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60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60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61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63"/>
    </row>
    <row r="8" spans="1:26" x14ac:dyDescent="0.25">
      <c r="B8" s="63"/>
    </row>
    <row r="9" spans="1:26" x14ac:dyDescent="0.25">
      <c r="B9" s="9"/>
      <c r="C9" s="9"/>
      <c r="D9" s="16" t="s">
        <v>294</v>
      </c>
      <c r="E9" s="16"/>
      <c r="F9" s="37"/>
      <c r="G9" s="16"/>
      <c r="H9" s="16"/>
      <c r="I9" s="16"/>
      <c r="J9" s="45"/>
      <c r="K9" s="16"/>
      <c r="L9" s="16"/>
      <c r="M9" s="16"/>
      <c r="N9" s="37"/>
      <c r="P9" s="16" t="s">
        <v>295</v>
      </c>
      <c r="Q9" s="16"/>
      <c r="R9" s="37"/>
      <c r="S9" s="16"/>
      <c r="T9" s="16"/>
      <c r="U9" s="16"/>
      <c r="V9" s="45"/>
      <c r="W9" s="16"/>
      <c r="X9" s="16"/>
      <c r="Y9" s="16"/>
      <c r="Z9" s="37"/>
    </row>
    <row r="10" spans="1:26" x14ac:dyDescent="0.25">
      <c r="A10" s="10"/>
      <c r="B10" s="59"/>
      <c r="C10" s="10"/>
      <c r="D10" s="43" t="s">
        <v>10</v>
      </c>
      <c r="E10" s="32"/>
      <c r="F10" s="38" t="s">
        <v>15</v>
      </c>
      <c r="G10" s="32"/>
      <c r="H10" s="46" t="s">
        <v>11</v>
      </c>
      <c r="I10" s="32"/>
      <c r="J10" s="49" t="s">
        <v>16</v>
      </c>
      <c r="K10" s="10"/>
      <c r="L10" s="43" t="s">
        <v>12</v>
      </c>
      <c r="M10" s="10"/>
      <c r="N10" s="38" t="s">
        <v>17</v>
      </c>
      <c r="O10" s="10"/>
      <c r="P10" s="56" t="s">
        <v>10</v>
      </c>
      <c r="Q10" s="32"/>
      <c r="R10" s="38" t="s">
        <v>15</v>
      </c>
      <c r="S10" s="32"/>
      <c r="T10" s="46" t="s">
        <v>11</v>
      </c>
      <c r="U10" s="32"/>
      <c r="V10" s="49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4"/>
      <c r="K11" s="9"/>
      <c r="L11" s="9"/>
      <c r="M11" s="9"/>
      <c r="N11" s="8"/>
      <c r="P11" s="9"/>
      <c r="Q11" s="9"/>
      <c r="R11" s="8"/>
      <c r="S11" s="9"/>
      <c r="T11" s="9"/>
      <c r="U11" s="9"/>
      <c r="V11" s="44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19" t="e">
        <f ca="1">D12-D15</f>
        <v>#NAME?</v>
      </c>
      <c r="E18" s="13"/>
      <c r="F18" s="21" t="e">
        <f ca="1">IF(D$12=0,0,D18/D$12)</f>
        <v>#NAME?</v>
      </c>
      <c r="G18" s="13"/>
      <c r="H18" s="19" t="e">
        <f ca="1">H12-H15</f>
        <v>#NAME?</v>
      </c>
      <c r="I18" s="13"/>
      <c r="J18" s="21" t="e">
        <f ca="1">IF(H$12=0,0,H18/H$12)</f>
        <v>#NAME?</v>
      </c>
      <c r="K18" s="15"/>
      <c r="L18" s="19" t="e">
        <f ca="1">+D18-H18</f>
        <v>#NAME?</v>
      </c>
      <c r="M18" s="15"/>
      <c r="N18" s="21" t="e">
        <f ca="1">IF(H18=0,0,L18/H18)</f>
        <v>#NAME?</v>
      </c>
      <c r="O18" s="26"/>
      <c r="P18" s="19" t="e">
        <f ca="1">P12-P15</f>
        <v>#NAME?</v>
      </c>
      <c r="Q18" s="13"/>
      <c r="R18" s="21" t="e">
        <f ca="1">IF(P$12=0,0,P18/P$12)</f>
        <v>#NAME?</v>
      </c>
      <c r="S18" s="13"/>
      <c r="T18" s="19" t="e">
        <f ca="1">T12-T15</f>
        <v>#NAME?</v>
      </c>
      <c r="U18" s="13"/>
      <c r="V18" s="21" t="e">
        <f ca="1">IF(T$12=0,0,T18/T$12)</f>
        <v>#NAME?</v>
      </c>
      <c r="W18" s="15"/>
      <c r="X18" s="19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19" t="e">
        <f ca="1">+D18-D20+D24</f>
        <v>#NAME?</v>
      </c>
      <c r="E27" s="13"/>
      <c r="F27" s="21" t="e">
        <f ca="1">IF(D$12=0,0,D27/D$12)</f>
        <v>#NAME?</v>
      </c>
      <c r="G27" s="13"/>
      <c r="H27" s="19" t="e">
        <f ca="1">+H18-H20+H24</f>
        <v>#NAME?</v>
      </c>
      <c r="I27" s="13"/>
      <c r="J27" s="21" t="e">
        <f ca="1">IF(H$12=0,0,H27/H$12)</f>
        <v>#NAME?</v>
      </c>
      <c r="K27" s="15"/>
      <c r="L27" s="19" t="e">
        <f ca="1">+D27-H27</f>
        <v>#NAME?</v>
      </c>
      <c r="M27" s="15"/>
      <c r="N27" s="21" t="e">
        <f ca="1">IF(H27=0,0,L27/H27)</f>
        <v>#NAME?</v>
      </c>
      <c r="O27" s="26"/>
      <c r="P27" s="19" t="e">
        <f ca="1">+P18-P20+P24</f>
        <v>#NAME?</v>
      </c>
      <c r="Q27" s="13"/>
      <c r="R27" s="21" t="e">
        <f ca="1">IF(P$12=0,0,P27/P$12)</f>
        <v>#NAME?</v>
      </c>
      <c r="S27" s="13"/>
      <c r="T27" s="19" t="e">
        <f ca="1">+T18-T20+T24</f>
        <v>#NAME?</v>
      </c>
      <c r="U27" s="13"/>
      <c r="V27" s="21" t="e">
        <f ca="1">IF(T$12=0,0,T27/T$12)</f>
        <v>#NAME?</v>
      </c>
      <c r="W27" s="15"/>
      <c r="X27" s="19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0" t="e">
        <f ca="1">IF(D$12=0,0,D31/D$12)</f>
        <v>#NAME?</v>
      </c>
      <c r="G31" s="13"/>
      <c r="H31" s="34" t="e">
        <f ca="1">+H27-H29</f>
        <v>#NAME?</v>
      </c>
      <c r="I31" s="13"/>
      <c r="J31" s="30" t="e">
        <f ca="1">IF(H$12=0,0,H31/H$12)</f>
        <v>#NAME?</v>
      </c>
      <c r="K31" s="15"/>
      <c r="L31" s="34" t="e">
        <f ca="1">D31-H31</f>
        <v>#NAME?</v>
      </c>
      <c r="M31" s="15"/>
      <c r="N31" s="30" t="e">
        <f ca="1">IF(H31=0,0,L31/H31)</f>
        <v>#NAME?</v>
      </c>
      <c r="O31" s="26"/>
      <c r="P31" s="34" t="e">
        <f ca="1">+P27-P29</f>
        <v>#NAME?</v>
      </c>
      <c r="Q31" s="13"/>
      <c r="R31" s="30" t="e">
        <f ca="1">IF(P$12=0,0,P31/P$12)</f>
        <v>#NAME?</v>
      </c>
      <c r="S31" s="13"/>
      <c r="T31" s="34" t="e">
        <f ca="1">+T27-T29</f>
        <v>#NAME?</v>
      </c>
      <c r="U31" s="13"/>
      <c r="V31" s="30" t="e">
        <f ca="1">IF(T$12=0,0,T31/T$12)</f>
        <v>#NAME?</v>
      </c>
      <c r="W31" s="15"/>
      <c r="X31" s="34" t="e">
        <f ca="1">P31-T31</f>
        <v>#NAME?</v>
      </c>
      <c r="Y31" s="15"/>
      <c r="Z31" s="30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5" t="e">
        <f ca="1">SUM(D31:D35)</f>
        <v>#NAME?</v>
      </c>
      <c r="E36" s="13"/>
      <c r="F36" s="31" t="e">
        <f ca="1">IF(D$12=0,0,D36/D$12)</f>
        <v>#NAME?</v>
      </c>
      <c r="G36" s="13"/>
      <c r="H36" s="35" t="e">
        <f ca="1">SUM(H31:H35)</f>
        <v>#NAME?</v>
      </c>
      <c r="I36" s="13"/>
      <c r="J36" s="31" t="e">
        <f ca="1">IF(H$12=0,0,H36/H$12)</f>
        <v>#NAME?</v>
      </c>
      <c r="K36" s="15"/>
      <c r="L36" s="35" t="e">
        <f ca="1">+D36-H36</f>
        <v>#NAME?</v>
      </c>
      <c r="M36" s="15"/>
      <c r="N36" s="31" t="e">
        <f ca="1">IF(H36=0,0,L36/H36)</f>
        <v>#NAME?</v>
      </c>
      <c r="O36" s="26"/>
      <c r="P36" s="35" t="e">
        <f ca="1">SUM(P31:P35)</f>
        <v>#NAME?</v>
      </c>
      <c r="Q36" s="13"/>
      <c r="R36" s="31" t="e">
        <f ca="1">IF(P$12=0,0,P36/P$12)</f>
        <v>#NAME?</v>
      </c>
      <c r="S36" s="13"/>
      <c r="T36" s="35" t="e">
        <f ca="1">SUM(T31:T35)</f>
        <v>#NAME?</v>
      </c>
      <c r="U36" s="13"/>
      <c r="V36" s="31" t="e">
        <f ca="1">IF(T$12=0,0,T36/T$12)</f>
        <v>#NAME?</v>
      </c>
      <c r="W36" s="15"/>
      <c r="X36" s="35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3978</vt:i4>
      </vt:variant>
    </vt:vector>
  </HeadingPairs>
  <TitlesOfParts>
    <vt:vector size="4077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408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'408'!Print_Area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'408'!Print_Titles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2021-03-13T00:38:35Z</dcterms:modified>
</cp:coreProperties>
</file>